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75" windowHeight="6150" firstSheet="1" activeTab="1"/>
  </bookViews>
  <sheets>
    <sheet name="ИП 19.10.22" sheetId="1" state="hidden" r:id="rId1"/>
    <sheet name="До и после" sheetId="2" r:id="rId2"/>
    <sheet name="Удалили полугодовые" sheetId="3" state="hidden" r:id="rId3"/>
  </sheets>
  <definedNames>
    <definedName name="_xlnm.Print_Area" localSheetId="1">'До и после'!$A$4:$O$74</definedName>
    <definedName name="_xlnm.Print_Area" localSheetId="0">'ИП 19.10.22'!$A$1:$I$223</definedName>
  </definedNames>
  <calcPr fullCalcOnLoad="1"/>
</workbook>
</file>

<file path=xl/sharedStrings.xml><?xml version="1.0" encoding="utf-8"?>
<sst xmlns="http://schemas.openxmlformats.org/spreadsheetml/2006/main" count="935" uniqueCount="233">
  <si>
    <t>Инвестиционная программа субъекта естественных монополии</t>
  </si>
  <si>
    <r>
      <t>_______</t>
    </r>
    <r>
      <rPr>
        <u val="single"/>
        <sz val="12"/>
        <color indexed="8"/>
        <rFont val="Times New Roman"/>
        <family val="1"/>
      </rPr>
      <t>Водоснабжение и водоотведение г.Петропавловска</t>
    </r>
    <r>
      <rPr>
        <sz val="12"/>
        <color indexed="8"/>
        <rFont val="Times New Roman"/>
        <family val="1"/>
      </rPr>
      <t>________</t>
    </r>
  </si>
  <si>
    <t>№ п/п</t>
  </si>
  <si>
    <t>Единица 
измерения</t>
  </si>
  <si>
    <t>Количество</t>
  </si>
  <si>
    <t>Источник финансирования, тыс.тенге</t>
  </si>
  <si>
    <t>собственные</t>
  </si>
  <si>
    <t>заемные</t>
  </si>
  <si>
    <t>Бюджетные средства</t>
  </si>
  <si>
    <t>вода</t>
  </si>
  <si>
    <t>стоки</t>
  </si>
  <si>
    <t>Водопроводные сети</t>
  </si>
  <si>
    <t>м</t>
  </si>
  <si>
    <t>шт</t>
  </si>
  <si>
    <t>Итого по водопроводным сетям</t>
  </si>
  <si>
    <t>Канализационные сети</t>
  </si>
  <si>
    <t>Итого по канализационным  сетям</t>
  </si>
  <si>
    <t>Всего по годам</t>
  </si>
  <si>
    <t>амортизация</t>
  </si>
  <si>
    <t>прибыль</t>
  </si>
  <si>
    <t>ЕБРР</t>
  </si>
  <si>
    <t>Насосные станции</t>
  </si>
  <si>
    <t>Итого по насосным станциям</t>
  </si>
  <si>
    <t xml:space="preserve">Генеральный директор ТОО "Қызылжар су" </t>
  </si>
  <si>
    <t xml:space="preserve">                                                                                            </t>
  </si>
  <si>
    <t>Деятельность, не относящаяся к регулируемым услугам</t>
  </si>
  <si>
    <t xml:space="preserve">Наименование мероприятий инвестиционной программы </t>
  </si>
  <si>
    <t xml:space="preserve"> Сумма инвестиций, тыс.тенге (без НДС)</t>
  </si>
  <si>
    <t>Приложение 1</t>
  </si>
  <si>
    <t>Период инвестиционной программы: 2022-2026 гг.</t>
  </si>
  <si>
    <t xml:space="preserve">Инвестиционная программа на 2022 год </t>
  </si>
  <si>
    <t xml:space="preserve">Всего на 2022 год </t>
  </si>
  <si>
    <t xml:space="preserve">Инвестиционная программа на 2023 год </t>
  </si>
  <si>
    <t xml:space="preserve">Всего на 2023 год </t>
  </si>
  <si>
    <t>Итого 2022г, в том числе</t>
  </si>
  <si>
    <t>Ж.Султанов</t>
  </si>
  <si>
    <t>Итого 2023г, в том числе</t>
  </si>
  <si>
    <t xml:space="preserve">Инвестиционная программа на 2024 год </t>
  </si>
  <si>
    <t xml:space="preserve">Всего на 2024 год </t>
  </si>
  <si>
    <t>Итого 2024г, в том числе</t>
  </si>
  <si>
    <t xml:space="preserve">Инвестиционная программа на 2025 год </t>
  </si>
  <si>
    <t xml:space="preserve">Всего на 2025 год </t>
  </si>
  <si>
    <t>Итого 2025г, в том числе</t>
  </si>
  <si>
    <t xml:space="preserve">Инвестиционная программа на 2026 год </t>
  </si>
  <si>
    <t xml:space="preserve">Всего на 2026 год </t>
  </si>
  <si>
    <t>Итого 2026г, в том числе</t>
  </si>
  <si>
    <t>Капитальный ремонт насосного оборудования подкачивающих насосных станций (ПНС)</t>
  </si>
  <si>
    <t>Новая техника</t>
  </si>
  <si>
    <t>Автомобиль мастерская (АВМ)</t>
  </si>
  <si>
    <t xml:space="preserve">Капитальный ремонт канализационного коллектора по ул. Ж.Жабаева от ул. Пионерская до ул.Чкалова,  (Д=300 мм, L=750 м, ГНБ) </t>
  </si>
  <si>
    <t>Капитальный ремонт водовода по ул. Побелянского-Пугачева от пр. Панфилова до ул. Мопровская (Д=300 мм, L= 2050м, ГНБ)</t>
  </si>
  <si>
    <t>Капитальный ремонт канализационного коллектора по ул. Рижская от  ул. Володарского  до ул. Брусиловского, (Д=300 мм, L=670 м, ГНБ)</t>
  </si>
  <si>
    <t>Капитальный ремонт канализационного коллектора по ул. Театральная от  ул. Брусиловского  до ул. Интернациональная, (Д=300 мм, L=500 м, ГНБ)</t>
  </si>
  <si>
    <t>-</t>
  </si>
  <si>
    <t>Капитальный ремонт водовода по ул. Пугачева от ул. Молодогвардейцев  до ул.  Караванная (Д=1000 мм, L=238м, ГНБ)</t>
  </si>
  <si>
    <t>Капитальный ремонт водовода по ул. Пугачева от ул. Караванная до ул. Красина  (Д=1000 мм, L=337м, ГНБ)</t>
  </si>
  <si>
    <t>услуга</t>
  </si>
  <si>
    <t>Итого по новой технике</t>
  </si>
  <si>
    <t>Капитальный ремонт водовода по ул.Амангельды-Маяковского от ул.Исмаилова до ул. Жумабаева (Д=800 мм, L=385 м, ГНБ)</t>
  </si>
  <si>
    <t xml:space="preserve">Капитальный ремонт канализационного коллектора по ул. Украинская,  (Д=400 мм, L=443 м, ГНБ) </t>
  </si>
  <si>
    <t>ул. Брусиловского (р-он гимназии №1)</t>
  </si>
  <si>
    <t>ул. Брусиловского - ул.Васильева</t>
  </si>
  <si>
    <t>ул. Н.Болатбаева, 2</t>
  </si>
  <si>
    <t>ул.Шухова, 10</t>
  </si>
  <si>
    <t>пос.Борки по ул.Зелёная</t>
  </si>
  <si>
    <t>ул.Громовой от ул.Уральская до ул.Невского</t>
  </si>
  <si>
    <t>ул.Жамбыла, 298</t>
  </si>
  <si>
    <t>ул.Заозерная от ул.Чайкиной ул.Рыжова</t>
  </si>
  <si>
    <t>ул.Чернышевского от ул.Павлова до ул.Киевская</t>
  </si>
  <si>
    <t>ул.Радищева, 24</t>
  </si>
  <si>
    <t>ул.Островского-ул.Красина</t>
  </si>
  <si>
    <t xml:space="preserve">ул. Сатпаева, 25 </t>
  </si>
  <si>
    <t>ул. Кошукова, 10</t>
  </si>
  <si>
    <t>ул. К.Сутюшева, 49</t>
  </si>
  <si>
    <t>по ул. Е.Казахстана от ул. Брусиловского жо ул. Букетова</t>
  </si>
  <si>
    <t>пос. Хромзавод р-он ШК №12</t>
  </si>
  <si>
    <t>ул.К.Сатпаева, 3</t>
  </si>
  <si>
    <t>ул.Некрасова, 1</t>
  </si>
  <si>
    <t>ул.Ж.Жабаева, 169</t>
  </si>
  <si>
    <t>ул.Парковая, 161, 161А</t>
  </si>
  <si>
    <t>ул.Хименко, 10</t>
  </si>
  <si>
    <t>Капитальный ремонт водопроводных сетей</t>
  </si>
  <si>
    <t>Итого по капитальному ремонту водопроводных сетей</t>
  </si>
  <si>
    <t>Капитальный ремонт канализационных сетей</t>
  </si>
  <si>
    <t>Итого по капитальному ремонту канализационных сетей</t>
  </si>
  <si>
    <t>Насос топливный (ООО ТК Комплект)</t>
  </si>
  <si>
    <t>Сварочный аппарат (ИП Пионткевич)</t>
  </si>
  <si>
    <t>Барометр (Ржавина)</t>
  </si>
  <si>
    <t>Насос (ТОО Топстандарт)</t>
  </si>
  <si>
    <t>Насос Х65-50-160Е (ТОО ТК Комплект)</t>
  </si>
  <si>
    <t>Видеорегистратор (ТОО IT Promaster)</t>
  </si>
  <si>
    <t>Компрессор поршневой (ТОО Патриот СКО)</t>
  </si>
  <si>
    <t>Прибор приемно-контрольный (ИП Костин)</t>
  </si>
  <si>
    <t>Система блокировки канализации (ИП Электротех)</t>
  </si>
  <si>
    <t>Генератор инверторный (ТОО Электростиль)</t>
  </si>
  <si>
    <t>Таль ручная (ИП Агапов)</t>
  </si>
  <si>
    <t>Запуск электросирен (АО ASTEL)</t>
  </si>
  <si>
    <t>Баровая грунторезная установка (ООО ТК Комплект)</t>
  </si>
  <si>
    <t>Патрон на станок токарный (ИП Агапов)</t>
  </si>
  <si>
    <t>Принтер (ТОО Электротех)</t>
  </si>
  <si>
    <t>Принтер (ТОО IT-ProMaster)</t>
  </si>
  <si>
    <t>Насос (ТОО Эталон запчасть)</t>
  </si>
  <si>
    <t>Насос на ЗИЛ (ИП Гидроснаб)</t>
  </si>
  <si>
    <t>Ремонт КПП ГАЗ (ИП Адиева)</t>
  </si>
  <si>
    <t>Ремонт ДВС Камаз (ИП Адиева)</t>
  </si>
  <si>
    <t>Ремонт КПП Макар (ИП Адиева)</t>
  </si>
  <si>
    <t>Ремонт ТНВД (Лазарев)</t>
  </si>
  <si>
    <t>Стекло (ИП Гидропром-сервис)</t>
  </si>
  <si>
    <t>Аппарат сварочный (ИП Start)</t>
  </si>
  <si>
    <t>ед</t>
  </si>
  <si>
    <t>Ремонт насоса на КНС №13 (ТОО FDI Kokshe Servise plus)</t>
  </si>
  <si>
    <t>ус</t>
  </si>
  <si>
    <t>Дверь (ТОО F.I.N.)</t>
  </si>
  <si>
    <t>Электропривод на насосную сырого осадка (ИП Агапов)</t>
  </si>
  <si>
    <t>Дверь (ИП Story Best)</t>
  </si>
  <si>
    <t>Дверь металл (ИП Story Best)</t>
  </si>
  <si>
    <t>Земельные участки</t>
  </si>
  <si>
    <t>Земельный участок под КНС</t>
  </si>
  <si>
    <r>
      <t>____________________</t>
    </r>
    <r>
      <rPr>
        <b/>
        <u val="single"/>
        <sz val="12"/>
        <color indexed="8"/>
        <rFont val="Times New Roman"/>
        <family val="1"/>
      </rPr>
      <t>ТОО "Қызылжар су"</t>
    </r>
    <r>
      <rPr>
        <b/>
        <sz val="12"/>
        <color indexed="8"/>
        <rFont val="Times New Roman"/>
        <family val="1"/>
      </rPr>
      <t>_____________________</t>
    </r>
  </si>
  <si>
    <t>Плата материнская (ТОО СевТоргПлюс) 185</t>
  </si>
  <si>
    <t>Плата материнская (ТОО СевТоргПлюс) 185/1</t>
  </si>
  <si>
    <t>Процессор (ТОО РифСевер) 169/3</t>
  </si>
  <si>
    <t>Плата материнская (ТОО СевТоргПлюс) 169/5</t>
  </si>
  <si>
    <t>Системная плата (ТОО СевТоргПлюс) 164</t>
  </si>
  <si>
    <t>Канализационный коллектор на территории ВОС</t>
  </si>
  <si>
    <t>Канализационный коллектор по ул.К.Казахстана</t>
  </si>
  <si>
    <t>Видеокамера IP (внешняя, купольная), Блок питания, видеорегистратор 8,4  (ТОО IT Promaster) 02/22</t>
  </si>
  <si>
    <t>Видеокамера (ТОО IT Promaster) 01/22</t>
  </si>
  <si>
    <t>Видеокамера (ТОО Орбита-Север) 135/7</t>
  </si>
  <si>
    <t>Видеорегистратор (JANTU Group) 133/2</t>
  </si>
  <si>
    <t>Видеорегистратор (JANTU Group) 133/1</t>
  </si>
  <si>
    <t>Пульт контроля и управления охранно-пожарный (ТОО СевТоргПлюс) 160/4</t>
  </si>
  <si>
    <t>Блок контрольно-пусковой (ТОО СевТоргПлюс) 160</t>
  </si>
  <si>
    <t>Блок индикации (ТОО СевТоргПлюс) 160/3</t>
  </si>
  <si>
    <t>Источник бесперебойного питания (ТОО СевТоргПлюс) 160/1</t>
  </si>
  <si>
    <t>Источник бесперебойного питания (ТОО СевТоргПлюс) 182</t>
  </si>
  <si>
    <t>Устройство плавного пуска (ИП Рудакова)</t>
  </si>
  <si>
    <t>Ремонт насоса на КНС 3 (ТОО FDI Kokshe Servise plus)</t>
  </si>
  <si>
    <t>ул.Назарбаева от ул.Семашко, 42 до Семашко, 58</t>
  </si>
  <si>
    <t>ул. Валиханова, 27</t>
  </si>
  <si>
    <t>в пос. Борки от ул. Кизатова до ТП</t>
  </si>
  <si>
    <t>ул. Алтынсарина, 188</t>
  </si>
  <si>
    <t>ул. Мусрепова- ул.Валиханова</t>
  </si>
  <si>
    <t>ул. Нефтепроводная- ул.Северная</t>
  </si>
  <si>
    <t>Шкаф серверный (ТОО Риф Север)</t>
  </si>
  <si>
    <t>Приобретение насосных агрегатов на ПНС</t>
  </si>
  <si>
    <t>Жесткий диск, процессор, монитор 24, монитор 22, комп в сборе, модем, видеодомофон (ТОО IT-ProMaster) 03/22</t>
  </si>
  <si>
    <t>Сканер протяжной (ТОО IT-ProMaster) 04/22</t>
  </si>
  <si>
    <t>Приобретение насоса на НС-1 подъёма</t>
  </si>
  <si>
    <t>Ремонт насоса КО 530 (ИП Гидропром-сервис)</t>
  </si>
  <si>
    <t>Видеокамера (JANTU Group) 135</t>
  </si>
  <si>
    <t>Окно (ТОО Доступные окна)</t>
  </si>
  <si>
    <t>Станок древообрабатывающий (ТОО Патриот СКО)</t>
  </si>
  <si>
    <t>ул. Сатпаева, 27</t>
  </si>
  <si>
    <t>ул. К.Кизатова, 2Б</t>
  </si>
  <si>
    <t>ул. Урожайная, 19</t>
  </si>
  <si>
    <t>ул. Вознесенская от ул.К.Сутюшева до Драмматического театра им.Погодина</t>
  </si>
  <si>
    <t>ул. Алтынсарина от ул. Абая до ул. Алматинской</t>
  </si>
  <si>
    <t>ул. К.Казахстана</t>
  </si>
  <si>
    <t>ул.Е.Букетова, 65</t>
  </si>
  <si>
    <t>ул.Матвеева от ул.Лазутина до 2 пр.Лазутина</t>
  </si>
  <si>
    <t>по ул. Челюскина- ул.Казахстанской правды от ул. Алтынсарина до ул. Маяковского</t>
  </si>
  <si>
    <t>от ул.Л.Чайкиной, 164 до ул. Рыжова, 57</t>
  </si>
  <si>
    <t>ул. Уральская от ул. Уральская, 30 до ул. Тимирязева</t>
  </si>
  <si>
    <t>ул. Чернышевского от ул. Киевская до ул. Курганская</t>
  </si>
  <si>
    <t>ул. Астана от ул. Бостандыкская до ул. Интернациональная</t>
  </si>
  <si>
    <t>к Правилам формирования тарифов №90 от 
19 ноября 2019 года. Форма 12</t>
  </si>
  <si>
    <t>Приобретение панели управления на КНС №1</t>
  </si>
  <si>
    <t>Док-станция (ТОО IT-ProMaster) 212</t>
  </si>
  <si>
    <t>Капитальный ремонт насосных станций</t>
  </si>
  <si>
    <t>Капитальный ремонт системы охраны и безопасности КВС и КВО</t>
  </si>
  <si>
    <t>Капитальный ремонт КНС №3</t>
  </si>
  <si>
    <t>Капитальный ремонт на насосной станции сырого осадка</t>
  </si>
  <si>
    <t>Капитальный ремонт КНС №13</t>
  </si>
  <si>
    <t>Модернизация и реконструкция систем водоснабжения и водоотведения</t>
  </si>
  <si>
    <t xml:space="preserve">Реконструкция насосной станции 1-го подъёма </t>
  </si>
  <si>
    <t>Реконструкция ВОС</t>
  </si>
  <si>
    <t>СМР</t>
  </si>
  <si>
    <t>Итого по модернизации и реконструкции систем водоснабжения и водоотведения</t>
  </si>
  <si>
    <t>Приобретение нового оборудования</t>
  </si>
  <si>
    <t>Приобретение, обновление компьютерной техники</t>
  </si>
  <si>
    <t>Капитальный ремонт транспортных средств</t>
  </si>
  <si>
    <t>Приобретение шкафа серверного</t>
  </si>
  <si>
    <r>
      <t>____________________</t>
    </r>
    <r>
      <rPr>
        <b/>
        <u val="single"/>
        <sz val="10"/>
        <color indexed="8"/>
        <rFont val="Times New Roman"/>
        <family val="1"/>
      </rPr>
      <t>ТОО "Қызылжар су"</t>
    </r>
    <r>
      <rPr>
        <b/>
        <sz val="10"/>
        <color indexed="8"/>
        <rFont val="Times New Roman"/>
        <family val="1"/>
      </rPr>
      <t>_____________________</t>
    </r>
  </si>
  <si>
    <r>
      <t>_______</t>
    </r>
    <r>
      <rPr>
        <u val="single"/>
        <sz val="10"/>
        <color indexed="8"/>
        <rFont val="Times New Roman"/>
        <family val="1"/>
      </rPr>
      <t>Водоснабжение и водоотведение г.Петропавловска</t>
    </r>
    <r>
      <rPr>
        <sz val="10"/>
        <color indexed="8"/>
        <rFont val="Times New Roman"/>
        <family val="1"/>
      </rPr>
      <t>________</t>
    </r>
  </si>
  <si>
    <t xml:space="preserve">Капитальный ремонт канализационного коллектора по ул. Чайковского, 15,17,19 </t>
  </si>
  <si>
    <t xml:space="preserve">Капитальный ремонт канализационного коллектора по ул. Ауэзова, 180,182  </t>
  </si>
  <si>
    <t xml:space="preserve">Капитальный ремонт канализационного коллектора по ул. Абая, 66,68  </t>
  </si>
  <si>
    <t xml:space="preserve">Капитальный ремонт канализационного коллектора по ул. Назарбаева, 238,240   </t>
  </si>
  <si>
    <t>Капитальный ремонт водопровода по ул. Красина от ул. Лазутина до 4 пр. Михеева, 6</t>
  </si>
  <si>
    <t>Капитальный ремонт водопровода по ул. Чернышевского от ул. 5 армии до ул. Малышева</t>
  </si>
  <si>
    <t>Капитальный ремонт канализационного коллектора по ул. Назарбаева, 258</t>
  </si>
  <si>
    <t xml:space="preserve">Капитальный ремонт трубопровода сброса промывной воды фильтровальной станции </t>
  </si>
  <si>
    <t>ул. Театральная-Брусиловского</t>
  </si>
  <si>
    <t>по ул. Заводская от ул. Ауэзова до пр. Джамбула, 1Б</t>
  </si>
  <si>
    <t>от ул. Интернациональная до ул. Интернациональная, 59</t>
  </si>
  <si>
    <t>по ул. Болатбаева от ул. Болатбаева, 2 до ул. Шухова</t>
  </si>
  <si>
    <t>по ул. Болатбаева от ул. Болатбаева, 30 до ул. Жукова</t>
  </si>
  <si>
    <t>от ул. Мусрепова, 18 до ул. Мусрепова, 18А</t>
  </si>
  <si>
    <t>ул. Алматинская от ул. Алматинская, 33 до ул. Алтынсарина</t>
  </si>
  <si>
    <t>ул. 314 Стрелковой дивизии от ул. Алматинская, 28 до ул. Абая</t>
  </si>
  <si>
    <t>ул. Ауэзова, 184</t>
  </si>
  <si>
    <t>ул. Кошукова, 3.7</t>
  </si>
  <si>
    <t>ул. Интернациональная, 68</t>
  </si>
  <si>
    <t>к инвестиционной программе субъекта естественных монополии за 2023 год</t>
  </si>
  <si>
    <t>по ул.Нефтепроводная от ул.Мусрепова в сторону КНС№3</t>
  </si>
  <si>
    <t>по ул.Брусиловского</t>
  </si>
  <si>
    <t>от ул.Воровского</t>
  </si>
  <si>
    <t>от ул.Кирпичная</t>
  </si>
  <si>
    <t>по ул.Я.Гашека (р-н) Парк Победы)</t>
  </si>
  <si>
    <t>по ул.Украинская (район школы-интернат)</t>
  </si>
  <si>
    <t>по ул.Жабаева, д.63, 65</t>
  </si>
  <si>
    <t>по ул.Украинская, д.197, 199</t>
  </si>
  <si>
    <t>по ул.Украинская, д.234 а, 234 б</t>
  </si>
  <si>
    <t>по ул.Валиханова, д.38</t>
  </si>
  <si>
    <t>по 3 проезду Шмидта</t>
  </si>
  <si>
    <t>по ул.Н.Назарбаева, д.234</t>
  </si>
  <si>
    <t>по ул.Казахстанской правды (район Достык Молл)</t>
  </si>
  <si>
    <t>канализационный коллектор к зданию РММ на территории ВОС</t>
  </si>
  <si>
    <t>Итого по капитальному ремонту насосных станций</t>
  </si>
  <si>
    <t>Приобретение и установка воздуховодов на КНС №4</t>
  </si>
  <si>
    <t>Приобретение и установка воздуховодов на КНС №1</t>
  </si>
  <si>
    <t>Приобретение и установка воздуховодов на КНС №17</t>
  </si>
  <si>
    <t>Приобретение и установка воздуховодов на КНС №11</t>
  </si>
  <si>
    <t>Приобретение и установка воздуховодов на КНС №3</t>
  </si>
  <si>
    <t xml:space="preserve">Ремонт кровли здания КНС п.Заречный </t>
  </si>
  <si>
    <t>Ремонт кровли здания КНС мкр.Орман</t>
  </si>
  <si>
    <t>Единица 
изм.</t>
  </si>
  <si>
    <t>Исполнение за 1-е полугодие 2023 года</t>
  </si>
  <si>
    <t>Утверждённая инвестиционная программа на 2023 год</t>
  </si>
  <si>
    <t>ПРИМЕЧАНИЕ</t>
  </si>
  <si>
    <t>Выполнено</t>
  </si>
  <si>
    <t>В работе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</si>
</sst>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₽&quot;;\-###,0&quot;.&quot;00\ &quot;₽&quot;"/>
    <numFmt numFmtId="181" formatCode="###,0&quot;.&quot;00\ &quot;₽&quot;;[Red]\-###,0&quot;.&quot;00\ &quot;₽&quot;"/>
    <numFmt numFmtId="182" formatCode="_-* ###,0&quot;.&quot;00\ &quot;₽&quot;_-;\-* ###,0&quot;.&quot;00\ &quot;₽&quot;_-;_-* &quot;-&quot;??\ &quot;₽&quot;_-;_-@_-"/>
    <numFmt numFmtId="183" formatCode="_-* ###,0&quot;.&quot;00\ _₽_-;\-* ###,0&quot;.&quot;00\ _₽_-;_-* &quot;-&quot;??\ _₽_-;_-@_-"/>
    <numFmt numFmtId="184" formatCode="###,0&quot;.&quot;00&quot;р.&quot;;\-###,0&quot;.&quot;00&quot;р.&quot;"/>
    <numFmt numFmtId="185" formatCode="###,0&quot;.&quot;00&quot;р.&quot;;[Red]\-###,0&quot;.&quot;00&quot;р.&quot;"/>
    <numFmt numFmtId="186" formatCode="_-* ###,0&quot;.&quot;00&quot;р.&quot;_-;\-* ###,0&quot;.&quot;00&quot;р.&quot;_-;_-* &quot;-&quot;??&quot;р.&quot;_-;_-@_-"/>
    <numFmt numFmtId="187" formatCode="_-* ###,0&quot;.&quot;00_р_._-;\-* ###,0&quot;.&quot;00_р_._-;_-* &quot;-&quot;??_р_._-;_-@_-"/>
    <numFmt numFmtId="188" formatCode="###,0&quot;.&quot;00\ &quot;.&quot;;\-###,0&quot;.&quot;00\ &quot;.&quot;"/>
    <numFmt numFmtId="189" formatCode="###,0&quot;.&quot;00\ &quot;.&quot;;[Red]\-###,0&quot;.&quot;00\ &quot;.&quot;"/>
    <numFmt numFmtId="190" formatCode="_-* ###,0&quot;.&quot;00\ &quot;.&quot;_-;\-* ###,0&quot;.&quot;00\ &quot;.&quot;_-;_-* &quot;-&quot;??\ &quot;.&quot;_-;_-@_-"/>
    <numFmt numFmtId="191" formatCode="_-* ###,0&quot;.&quot;00\ _._-;\-* ###,0&quot;.&quot;00\ _._-;_-* &quot;-&quot;??\ _._-;_-@_-"/>
    <numFmt numFmtId="192" formatCode="##,#0&quot;.&quot;0"/>
    <numFmt numFmtId="193" formatCode="#,##0_ ;\-#,##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#,#0&quot;.&quot;0_ ;\-##,#0&quot;.&quot;0\ "/>
    <numFmt numFmtId="199" formatCode="###,0&quot;.&quot;00_ ;\-###,0&quot;.&quot;00\ "/>
    <numFmt numFmtId="200" formatCode="#,##0,&quot;.&quot;000_ ;\-#,##0,&quot;.&quot;000\ "/>
    <numFmt numFmtId="201" formatCode="##,#0&quot;.&quot;0,000_ ;\-##,#0&quot;.&quot;0,000\ "/>
    <numFmt numFmtId="202" formatCode="#,##0,&quot;.&quot;000"/>
    <numFmt numFmtId="203" formatCode="##,#0&quot;.&quot;0,000"/>
    <numFmt numFmtId="204" formatCode="#,##0.000"/>
    <numFmt numFmtId="205" formatCode="#,##0.0"/>
    <numFmt numFmtId="206" formatCode="_-* #,##0_р_._-;\-* #,##0_р_._-;_-* &quot;-&quot;??_р_._-;_-@_-"/>
    <numFmt numFmtId="207" formatCode="0.0"/>
    <numFmt numFmtId="208" formatCode="[$-FC19]d\ mmmm\ yyyy\ &quot;г.&quot;"/>
    <numFmt numFmtId="209" formatCode="#,##0.0&quot;.&quot;0"/>
    <numFmt numFmtId="210" formatCode="#,##0.&quot;.&quot;0"/>
    <numFmt numFmtId="211" formatCode="0.000"/>
    <numFmt numFmtId="212" formatCode="#,##0.0000"/>
    <numFmt numFmtId="213" formatCode="0.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3" fontId="58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192" fontId="58" fillId="0" borderId="10" xfId="0" applyNumberFormat="1" applyFont="1" applyFill="1" applyBorder="1" applyAlignment="1">
      <alignment/>
    </xf>
    <xf numFmtId="3" fontId="58" fillId="0" borderId="10" xfId="61" applyNumberFormat="1" applyFont="1" applyFill="1" applyBorder="1" applyAlignment="1">
      <alignment horizontal="center" vertical="center" wrapText="1"/>
    </xf>
    <xf numFmtId="192" fontId="58" fillId="0" borderId="10" xfId="0" applyNumberFormat="1" applyFont="1" applyFill="1" applyBorder="1" applyAlignment="1">
      <alignment horizontal="center" vertical="center" wrapText="1"/>
    </xf>
    <xf numFmtId="3" fontId="58" fillId="0" borderId="10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vertical="center"/>
    </xf>
    <xf numFmtId="3" fontId="61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92" fontId="58" fillId="0" borderId="10" xfId="0" applyNumberFormat="1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192" fontId="62" fillId="0" borderId="10" xfId="0" applyNumberFormat="1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3" fontId="59" fillId="0" borderId="10" xfId="0" applyNumberFormat="1" applyFont="1" applyFill="1" applyBorder="1" applyAlignment="1">
      <alignment vertical="center"/>
    </xf>
    <xf numFmtId="0" fontId="58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92" fontId="63" fillId="0" borderId="1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3" fontId="7" fillId="0" borderId="10" xfId="61" applyNumberFormat="1" applyFont="1" applyFill="1" applyBorder="1" applyAlignment="1">
      <alignment horizontal="center" vertical="center" wrapText="1"/>
    </xf>
    <xf numFmtId="3" fontId="64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>
      <alignment horizontal="center" vertical="center" wrapText="1"/>
    </xf>
    <xf numFmtId="192" fontId="62" fillId="0" borderId="10" xfId="0" applyNumberFormat="1" applyFont="1" applyFill="1" applyBorder="1" applyAlignment="1">
      <alignment horizontal="center" vertical="center" wrapText="1"/>
    </xf>
    <xf numFmtId="3" fontId="6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14" fontId="59" fillId="0" borderId="0" xfId="0" applyNumberFormat="1" applyFont="1" applyFill="1" applyBorder="1" applyAlignment="1">
      <alignment vertical="center"/>
    </xf>
    <xf numFmtId="0" fontId="66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/>
    </xf>
    <xf numFmtId="3" fontId="64" fillId="0" borderId="10" xfId="0" applyNumberFormat="1" applyFont="1" applyFill="1" applyBorder="1" applyAlignment="1">
      <alignment/>
    </xf>
    <xf numFmtId="0" fontId="67" fillId="0" borderId="0" xfId="0" applyFont="1" applyFill="1" applyAlignment="1">
      <alignment vertical="center"/>
    </xf>
    <xf numFmtId="1" fontId="58" fillId="0" borderId="0" xfId="0" applyNumberFormat="1" applyFont="1" applyFill="1" applyBorder="1" applyAlignment="1">
      <alignment/>
    </xf>
    <xf numFmtId="1" fontId="58" fillId="33" borderId="0" xfId="0" applyNumberFormat="1" applyFont="1" applyFill="1" applyBorder="1" applyAlignment="1">
      <alignment/>
    </xf>
    <xf numFmtId="1" fontId="62" fillId="0" borderId="0" xfId="0" applyNumberFormat="1" applyFont="1" applyFill="1" applyBorder="1" applyAlignment="1">
      <alignment/>
    </xf>
    <xf numFmtId="0" fontId="5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92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center" vertical="center" wrapText="1"/>
    </xf>
    <xf numFmtId="192" fontId="62" fillId="0" borderId="10" xfId="0" applyNumberFormat="1" applyFont="1" applyFill="1" applyBorder="1" applyAlignment="1">
      <alignment horizontal="left" vertical="center" wrapText="1"/>
    </xf>
    <xf numFmtId="3" fontId="62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0" borderId="13" xfId="0" applyFont="1" applyFill="1" applyBorder="1" applyAlignment="1">
      <alignment horizontal="center" vertical="center"/>
    </xf>
    <xf numFmtId="1" fontId="62" fillId="0" borderId="10" xfId="0" applyNumberFormat="1" applyFont="1" applyFill="1" applyBorder="1" applyAlignment="1">
      <alignment horizontal="center" vertical="center" wrapText="1"/>
    </xf>
    <xf numFmtId="3" fontId="66" fillId="33" borderId="10" xfId="0" applyNumberFormat="1" applyFont="1" applyFill="1" applyBorder="1" applyAlignment="1">
      <alignment horizontal="center" vertical="center" wrapText="1"/>
    </xf>
    <xf numFmtId="192" fontId="58" fillId="33" borderId="10" xfId="0" applyNumberFormat="1" applyFont="1" applyFill="1" applyBorder="1" applyAlignment="1">
      <alignment horizontal="center" vertical="center" wrapText="1"/>
    </xf>
    <xf numFmtId="3" fontId="7" fillId="33" borderId="10" xfId="61" applyNumberFormat="1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/>
    </xf>
    <xf numFmtId="192" fontId="58" fillId="33" borderId="10" xfId="0" applyNumberFormat="1" applyFont="1" applyFill="1" applyBorder="1" applyAlignment="1">
      <alignment/>
    </xf>
    <xf numFmtId="49" fontId="58" fillId="33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center" vertical="center" wrapText="1"/>
    </xf>
    <xf numFmtId="3" fontId="66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vertical="top"/>
    </xf>
    <xf numFmtId="4" fontId="58" fillId="33" borderId="10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 vertical="center" wrapText="1"/>
    </xf>
    <xf numFmtId="1" fontId="66" fillId="0" borderId="10" xfId="0" applyNumberFormat="1" applyFont="1" applyFill="1" applyBorder="1" applyAlignment="1">
      <alignment horizontal="center" vertical="center" wrapText="1"/>
    </xf>
    <xf numFmtId="204" fontId="62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67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3" fontId="62" fillId="0" borderId="10" xfId="0" applyNumberFormat="1" applyFont="1" applyFill="1" applyBorder="1" applyAlignment="1">
      <alignment vertical="center"/>
    </xf>
    <xf numFmtId="3" fontId="62" fillId="0" borderId="0" xfId="0" applyNumberFormat="1" applyFont="1" applyFill="1" applyAlignment="1">
      <alignment vertical="center"/>
    </xf>
    <xf numFmtId="14" fontId="58" fillId="0" borderId="0" xfId="0" applyNumberFormat="1" applyFont="1" applyFill="1" applyBorder="1" applyAlignment="1">
      <alignment vertical="center"/>
    </xf>
    <xf numFmtId="192" fontId="62" fillId="0" borderId="10" xfId="0" applyNumberFormat="1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center" vertical="center" wrapText="1"/>
    </xf>
    <xf numFmtId="192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192" fontId="62" fillId="0" borderId="10" xfId="0" applyNumberFormat="1" applyFont="1" applyFill="1" applyBorder="1" applyAlignment="1">
      <alignment horizontal="left" vertical="center" wrapText="1"/>
    </xf>
    <xf numFmtId="3" fontId="62" fillId="0" borderId="10" xfId="0" applyNumberFormat="1" applyFont="1" applyFill="1" applyBorder="1" applyAlignment="1">
      <alignment horizontal="center" vertical="center" wrapText="1"/>
    </xf>
    <xf numFmtId="3" fontId="66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192" fontId="58" fillId="34" borderId="10" xfId="0" applyNumberFormat="1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>
      <alignment horizontal="center" vertical="center" wrapText="1"/>
    </xf>
    <xf numFmtId="3" fontId="7" fillId="34" borderId="10" xfId="61" applyNumberFormat="1" applyFont="1" applyFill="1" applyBorder="1" applyAlignment="1">
      <alignment horizontal="center" vertical="center" wrapText="1"/>
    </xf>
    <xf numFmtId="49" fontId="58" fillId="34" borderId="10" xfId="0" applyNumberFormat="1" applyFont="1" applyFill="1" applyBorder="1" applyAlignment="1">
      <alignment/>
    </xf>
    <xf numFmtId="3" fontId="58" fillId="34" borderId="10" xfId="0" applyNumberFormat="1" applyFont="1" applyFill="1" applyBorder="1" applyAlignment="1">
      <alignment/>
    </xf>
    <xf numFmtId="192" fontId="58" fillId="34" borderId="10" xfId="0" applyNumberFormat="1" applyFont="1" applyFill="1" applyBorder="1" applyAlignment="1">
      <alignment/>
    </xf>
    <xf numFmtId="1" fontId="58" fillId="34" borderId="0" xfId="0" applyNumberFormat="1" applyFont="1" applyFill="1" applyBorder="1" applyAlignment="1">
      <alignment/>
    </xf>
    <xf numFmtId="0" fontId="58" fillId="34" borderId="0" xfId="0" applyFont="1" applyFill="1" applyBorder="1" applyAlignment="1">
      <alignment/>
    </xf>
    <xf numFmtId="0" fontId="58" fillId="34" borderId="0" xfId="0" applyFont="1" applyFill="1" applyAlignment="1">
      <alignment/>
    </xf>
    <xf numFmtId="49" fontId="58" fillId="34" borderId="10" xfId="0" applyNumberFormat="1" applyFont="1" applyFill="1" applyBorder="1" applyAlignment="1">
      <alignment vertical="top"/>
    </xf>
    <xf numFmtId="0" fontId="7" fillId="34" borderId="10" xfId="0" applyFont="1" applyFill="1" applyBorder="1" applyAlignment="1">
      <alignment horizontal="center" vertical="center" wrapText="1"/>
    </xf>
    <xf numFmtId="3" fontId="58" fillId="34" borderId="10" xfId="61" applyNumberFormat="1" applyFont="1" applyFill="1" applyBorder="1" applyAlignment="1">
      <alignment horizontal="center" vertical="center" wrapText="1"/>
    </xf>
    <xf numFmtId="1" fontId="66" fillId="34" borderId="10" xfId="0" applyNumberFormat="1" applyFont="1" applyFill="1" applyBorder="1" applyAlignment="1">
      <alignment horizontal="center" vertical="center" wrapText="1"/>
    </xf>
    <xf numFmtId="192" fontId="58" fillId="34" borderId="10" xfId="0" applyNumberFormat="1" applyFont="1" applyFill="1" applyBorder="1" applyAlignment="1">
      <alignment horizontal="left" vertical="center" wrapText="1"/>
    </xf>
    <xf numFmtId="204" fontId="62" fillId="34" borderId="10" xfId="0" applyNumberFormat="1" applyFont="1" applyFill="1" applyBorder="1" applyAlignment="1">
      <alignment horizontal="center" vertical="center" wrapText="1"/>
    </xf>
    <xf numFmtId="3" fontId="62" fillId="34" borderId="10" xfId="0" applyNumberFormat="1" applyFont="1" applyFill="1" applyBorder="1" applyAlignment="1">
      <alignment horizontal="center" vertical="center" wrapText="1"/>
    </xf>
    <xf numFmtId="192" fontId="62" fillId="34" borderId="10" xfId="0" applyNumberFormat="1" applyFont="1" applyFill="1" applyBorder="1" applyAlignment="1">
      <alignment horizontal="center" vertical="center" wrapText="1"/>
    </xf>
    <xf numFmtId="1" fontId="58" fillId="34" borderId="10" xfId="0" applyNumberFormat="1" applyFont="1" applyFill="1" applyBorder="1" applyAlignment="1">
      <alignment horizontal="center" vertical="center" wrapText="1"/>
    </xf>
    <xf numFmtId="192" fontId="62" fillId="0" borderId="10" xfId="0" applyNumberFormat="1" applyFont="1" applyFill="1" applyBorder="1" applyAlignment="1">
      <alignment horizontal="left" vertical="center" wrapText="1"/>
    </xf>
    <xf numFmtId="2" fontId="67" fillId="0" borderId="0" xfId="0" applyNumberFormat="1" applyFont="1" applyFill="1" applyAlignment="1">
      <alignment vertical="center"/>
    </xf>
    <xf numFmtId="3" fontId="62" fillId="0" borderId="10" xfId="0" applyNumberFormat="1" applyFont="1" applyFill="1" applyBorder="1" applyAlignment="1">
      <alignment horizontal="center" vertical="center" wrapText="1"/>
    </xf>
    <xf numFmtId="192" fontId="62" fillId="0" borderId="10" xfId="0" applyNumberFormat="1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3" fontId="58" fillId="33" borderId="10" xfId="0" applyNumberFormat="1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3" fontId="61" fillId="0" borderId="1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0" fillId="35" borderId="0" xfId="0" applyFill="1" applyAlignment="1">
      <alignment/>
    </xf>
    <xf numFmtId="3" fontId="62" fillId="35" borderId="10" xfId="0" applyNumberFormat="1" applyFont="1" applyFill="1" applyBorder="1" applyAlignment="1">
      <alignment horizontal="center" vertical="center" wrapText="1"/>
    </xf>
    <xf numFmtId="1" fontId="62" fillId="35" borderId="10" xfId="0" applyNumberFormat="1" applyFont="1" applyFill="1" applyBorder="1" applyAlignment="1">
      <alignment horizontal="center" vertical="center" wrapText="1"/>
    </xf>
    <xf numFmtId="192" fontId="62" fillId="35" borderId="10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0" fillId="35" borderId="0" xfId="0" applyFill="1" applyAlignment="1">
      <alignment vertical="center"/>
    </xf>
    <xf numFmtId="3" fontId="9" fillId="35" borderId="10" xfId="0" applyNumberFormat="1" applyFont="1" applyFill="1" applyBorder="1" applyAlignment="1">
      <alignment horizontal="center" vertical="center" wrapText="1"/>
    </xf>
    <xf numFmtId="3" fontId="61" fillId="35" borderId="10" xfId="0" applyNumberFormat="1" applyFont="1" applyFill="1" applyBorder="1" applyAlignment="1">
      <alignment vertical="center"/>
    </xf>
    <xf numFmtId="3" fontId="59" fillId="35" borderId="10" xfId="0" applyNumberFormat="1" applyFont="1" applyFill="1" applyBorder="1" applyAlignment="1">
      <alignment vertical="center"/>
    </xf>
    <xf numFmtId="0" fontId="59" fillId="35" borderId="10" xfId="0" applyFont="1" applyFill="1" applyBorder="1" applyAlignment="1">
      <alignment vertical="center"/>
    </xf>
    <xf numFmtId="3" fontId="62" fillId="35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3" fontId="64" fillId="35" borderId="10" xfId="0" applyNumberFormat="1" applyFont="1" applyFill="1" applyBorder="1" applyAlignment="1">
      <alignment horizontal="center" vertical="center" wrapText="1"/>
    </xf>
    <xf numFmtId="3" fontId="64" fillId="35" borderId="10" xfId="0" applyNumberFormat="1" applyFont="1" applyFill="1" applyBorder="1" applyAlignment="1">
      <alignment/>
    </xf>
    <xf numFmtId="0" fontId="58" fillId="35" borderId="10" xfId="0" applyFont="1" applyFill="1" applyBorder="1" applyAlignment="1">
      <alignment/>
    </xf>
    <xf numFmtId="0" fontId="58" fillId="35" borderId="0" xfId="0" applyFont="1" applyFill="1" applyBorder="1" applyAlignment="1">
      <alignment/>
    </xf>
    <xf numFmtId="0" fontId="58" fillId="35" borderId="0" xfId="0" applyFont="1" applyFill="1" applyAlignment="1">
      <alignment/>
    </xf>
    <xf numFmtId="192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192" fontId="62" fillId="0" borderId="10" xfId="0" applyNumberFormat="1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right" vertical="center"/>
    </xf>
    <xf numFmtId="0" fontId="58" fillId="0" borderId="0" xfId="0" applyFont="1" applyFill="1" applyAlignment="1">
      <alignment horizontal="right" vertical="top" wrapText="1"/>
    </xf>
    <xf numFmtId="0" fontId="62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" fontId="62" fillId="0" borderId="11" xfId="0" applyNumberFormat="1" applyFont="1" applyFill="1" applyBorder="1" applyAlignment="1">
      <alignment horizontal="center" vertical="center" wrapText="1"/>
    </xf>
    <xf numFmtId="1" fontId="62" fillId="0" borderId="14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right" vertical="center"/>
    </xf>
    <xf numFmtId="0" fontId="61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right" vertical="top" wrapText="1"/>
    </xf>
    <xf numFmtId="0" fontId="9" fillId="35" borderId="11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35" borderId="12" xfId="0" applyFont="1" applyFill="1" applyBorder="1" applyAlignment="1">
      <alignment horizontal="left" vertical="center" wrapText="1"/>
    </xf>
    <xf numFmtId="192" fontId="62" fillId="35" borderId="11" xfId="0" applyNumberFormat="1" applyFont="1" applyFill="1" applyBorder="1" applyAlignment="1">
      <alignment horizontal="left" vertical="center" wrapText="1"/>
    </xf>
    <xf numFmtId="192" fontId="62" fillId="35" borderId="14" xfId="0" applyNumberFormat="1" applyFont="1" applyFill="1" applyBorder="1" applyAlignment="1">
      <alignment horizontal="left" vertical="center" wrapText="1"/>
    </xf>
    <xf numFmtId="192" fontId="62" fillId="35" borderId="12" xfId="0" applyNumberFormat="1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3" fontId="68" fillId="0" borderId="10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242"/>
  <sheetViews>
    <sheetView zoomScaleSheetLayoutView="100" zoomScalePageLayoutView="0" workbookViewId="0" topLeftCell="A79">
      <selection activeCell="A117" sqref="A117:IV117"/>
    </sheetView>
  </sheetViews>
  <sheetFormatPr defaultColWidth="9.140625" defaultRowHeight="15"/>
  <cols>
    <col min="1" max="1" width="3.7109375" style="43" customWidth="1"/>
    <col min="2" max="2" width="48.00390625" style="43" customWidth="1"/>
    <col min="3" max="3" width="5.28125" style="43" customWidth="1"/>
    <col min="4" max="4" width="11.7109375" style="43" customWidth="1"/>
    <col min="5" max="5" width="14.28125" style="43" customWidth="1"/>
    <col min="6" max="6" width="12.140625" style="43" customWidth="1"/>
    <col min="7" max="8" width="11.7109375" style="43" customWidth="1"/>
    <col min="9" max="9" width="24.57421875" style="43" customWidth="1"/>
    <col min="10" max="10" width="13.8515625" style="8" customWidth="1"/>
    <col min="11" max="16384" width="9.140625" style="8" customWidth="1"/>
  </cols>
  <sheetData>
    <row r="1" spans="1:9" ht="15">
      <c r="A1" s="56"/>
      <c r="B1" s="56"/>
      <c r="C1" s="56"/>
      <c r="D1" s="56"/>
      <c r="E1" s="56"/>
      <c r="F1" s="56"/>
      <c r="G1" s="57"/>
      <c r="H1" s="147" t="s">
        <v>28</v>
      </c>
      <c r="I1" s="147"/>
    </row>
    <row r="2" spans="7:9" ht="15" customHeight="1">
      <c r="G2" s="148" t="s">
        <v>166</v>
      </c>
      <c r="H2" s="148"/>
      <c r="I2" s="148"/>
    </row>
    <row r="3" spans="7:9" ht="15" customHeight="1">
      <c r="G3" s="148"/>
      <c r="H3" s="148"/>
      <c r="I3" s="148"/>
    </row>
    <row r="4" spans="7:9" ht="15" customHeight="1">
      <c r="G4" s="148"/>
      <c r="H4" s="148"/>
      <c r="I4" s="148"/>
    </row>
    <row r="5" spans="1:9" ht="15">
      <c r="A5" s="149" t="s">
        <v>0</v>
      </c>
      <c r="B5" s="149"/>
      <c r="C5" s="149"/>
      <c r="D5" s="149"/>
      <c r="E5" s="149"/>
      <c r="F5" s="149"/>
      <c r="G5" s="149"/>
      <c r="H5" s="149"/>
      <c r="I5" s="149"/>
    </row>
    <row r="6" spans="1:9" ht="15">
      <c r="A6" s="149" t="s">
        <v>183</v>
      </c>
      <c r="B6" s="149"/>
      <c r="C6" s="149"/>
      <c r="D6" s="149"/>
      <c r="E6" s="149"/>
      <c r="F6" s="149"/>
      <c r="G6" s="149"/>
      <c r="H6" s="149"/>
      <c r="I6" s="149"/>
    </row>
    <row r="7" spans="1:9" ht="15">
      <c r="A7" s="150" t="s">
        <v>184</v>
      </c>
      <c r="B7" s="150"/>
      <c r="C7" s="150"/>
      <c r="D7" s="150"/>
      <c r="E7" s="150"/>
      <c r="F7" s="150"/>
      <c r="G7" s="150"/>
      <c r="H7" s="150"/>
      <c r="I7" s="150"/>
    </row>
    <row r="8" spans="1:9" ht="15">
      <c r="A8" s="145" t="s">
        <v>29</v>
      </c>
      <c r="B8" s="145"/>
      <c r="C8" s="145"/>
      <c r="D8" s="145"/>
      <c r="E8" s="145"/>
      <c r="F8" s="145"/>
      <c r="G8" s="145"/>
      <c r="H8" s="145"/>
      <c r="I8" s="145"/>
    </row>
    <row r="9" spans="1:9" ht="15">
      <c r="A9" s="58"/>
      <c r="B9" s="58"/>
      <c r="C9" s="58"/>
      <c r="D9" s="58"/>
      <c r="E9" s="58"/>
      <c r="F9" s="58"/>
      <c r="G9" s="58"/>
      <c r="H9" s="58"/>
      <c r="I9" s="58"/>
    </row>
    <row r="10" spans="1:9" ht="15" customHeight="1">
      <c r="A10" s="146" t="s">
        <v>2</v>
      </c>
      <c r="B10" s="143" t="s">
        <v>26</v>
      </c>
      <c r="C10" s="146" t="s">
        <v>3</v>
      </c>
      <c r="D10" s="146" t="s">
        <v>4</v>
      </c>
      <c r="E10" s="146" t="s">
        <v>27</v>
      </c>
      <c r="F10" s="143" t="s">
        <v>5</v>
      </c>
      <c r="G10" s="143"/>
      <c r="H10" s="143"/>
      <c r="I10" s="143"/>
    </row>
    <row r="11" spans="1:9" ht="96" customHeight="1">
      <c r="A11" s="146"/>
      <c r="B11" s="143"/>
      <c r="C11" s="146"/>
      <c r="D11" s="146"/>
      <c r="E11" s="146"/>
      <c r="F11" s="53" t="s">
        <v>6</v>
      </c>
      <c r="G11" s="53" t="s">
        <v>7</v>
      </c>
      <c r="H11" s="53" t="s">
        <v>8</v>
      </c>
      <c r="I11" s="52" t="s">
        <v>25</v>
      </c>
    </row>
    <row r="12" spans="1:9" ht="15.75" customHeight="1">
      <c r="A12" s="53">
        <v>1</v>
      </c>
      <c r="B12" s="52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2">
        <v>9</v>
      </c>
    </row>
    <row r="13" spans="1:130" s="7" customFormat="1" ht="16.5" customHeight="1">
      <c r="A13" s="143" t="s">
        <v>30</v>
      </c>
      <c r="B13" s="143"/>
      <c r="C13" s="143"/>
      <c r="D13" s="143"/>
      <c r="E13" s="143"/>
      <c r="F13" s="143"/>
      <c r="G13" s="143"/>
      <c r="H13" s="143"/>
      <c r="I13" s="14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s="7" customFormat="1" ht="12.75">
      <c r="A14" s="142" t="s">
        <v>31</v>
      </c>
      <c r="B14" s="142"/>
      <c r="C14" s="1"/>
      <c r="D14" s="1"/>
      <c r="E14" s="53">
        <f>E134</f>
        <v>239355.78557142857</v>
      </c>
      <c r="F14" s="53">
        <f>E14</f>
        <v>239355.78557142857</v>
      </c>
      <c r="G14" s="53"/>
      <c r="H14" s="53"/>
      <c r="I14" s="5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s="7" customFormat="1" ht="12.75">
      <c r="A15" s="53"/>
      <c r="B15" s="51" t="s">
        <v>9</v>
      </c>
      <c r="C15" s="1"/>
      <c r="D15" s="1"/>
      <c r="E15" s="1">
        <f>E137</f>
        <v>132950</v>
      </c>
      <c r="F15" s="1">
        <f>E15</f>
        <v>132950</v>
      </c>
      <c r="G15" s="53"/>
      <c r="H15" s="53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7" customFormat="1" ht="12.75">
      <c r="A16" s="53"/>
      <c r="B16" s="51" t="s">
        <v>10</v>
      </c>
      <c r="C16" s="1"/>
      <c r="D16" s="1"/>
      <c r="E16" s="1">
        <f>E138</f>
        <v>106406</v>
      </c>
      <c r="F16" s="1">
        <f>E16</f>
        <v>106406</v>
      </c>
      <c r="G16" s="53"/>
      <c r="H16" s="53"/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7" customFormat="1" ht="16.5" customHeight="1">
      <c r="A17" s="59">
        <v>1</v>
      </c>
      <c r="B17" s="142" t="s">
        <v>81</v>
      </c>
      <c r="C17" s="142"/>
      <c r="D17" s="142"/>
      <c r="E17" s="142"/>
      <c r="F17" s="142"/>
      <c r="G17" s="142"/>
      <c r="H17" s="142"/>
      <c r="I17" s="142"/>
      <c r="J17" s="44">
        <v>1150.871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98" customFormat="1" ht="12.75">
      <c r="A18" s="88">
        <v>1</v>
      </c>
      <c r="B18" s="89" t="s">
        <v>60</v>
      </c>
      <c r="C18" s="90" t="s">
        <v>12</v>
      </c>
      <c r="D18" s="91">
        <v>85</v>
      </c>
      <c r="E18" s="92">
        <f>903.184+247.687</f>
        <v>1150.871</v>
      </c>
      <c r="F18" s="92">
        <f aca="true" t="shared" si="0" ref="F18:F50">E18</f>
        <v>1150.871</v>
      </c>
      <c r="G18" s="93"/>
      <c r="H18" s="94"/>
      <c r="I18" s="95"/>
      <c r="J18" s="96">
        <v>1170.201</v>
      </c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</row>
    <row r="19" spans="1:130" s="98" customFormat="1" ht="12.75">
      <c r="A19" s="88">
        <v>2</v>
      </c>
      <c r="B19" s="89" t="s">
        <v>61</v>
      </c>
      <c r="C19" s="90" t="s">
        <v>12</v>
      </c>
      <c r="D19" s="91">
        <v>29</v>
      </c>
      <c r="E19" s="92">
        <f>1027.376+142.825</f>
        <v>1170.201</v>
      </c>
      <c r="F19" s="92">
        <f t="shared" si="0"/>
        <v>1170.201</v>
      </c>
      <c r="G19" s="93"/>
      <c r="H19" s="94"/>
      <c r="I19" s="95"/>
      <c r="J19" s="96">
        <v>415.012</v>
      </c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</row>
    <row r="20" spans="1:130" s="98" customFormat="1" ht="12.75">
      <c r="A20" s="88">
        <v>3</v>
      </c>
      <c r="B20" s="89" t="s">
        <v>154</v>
      </c>
      <c r="C20" s="90" t="s">
        <v>12</v>
      </c>
      <c r="D20" s="91">
        <v>20</v>
      </c>
      <c r="E20" s="92">
        <f>356.012+59</f>
        <v>415.012</v>
      </c>
      <c r="F20" s="92">
        <f t="shared" si="0"/>
        <v>415.012</v>
      </c>
      <c r="G20" s="93"/>
      <c r="H20" s="94"/>
      <c r="I20" s="95"/>
      <c r="J20" s="96">
        <v>170.321</v>
      </c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</row>
    <row r="21" spans="1:130" s="98" customFormat="1" ht="12.75">
      <c r="A21" s="88">
        <v>4</v>
      </c>
      <c r="B21" s="89" t="s">
        <v>155</v>
      </c>
      <c r="C21" s="90" t="s">
        <v>12</v>
      </c>
      <c r="D21" s="91">
        <v>15</v>
      </c>
      <c r="E21" s="92">
        <f>150.821+19.5</f>
        <v>170.321</v>
      </c>
      <c r="F21" s="92">
        <f t="shared" si="0"/>
        <v>170.321</v>
      </c>
      <c r="G21" s="93"/>
      <c r="H21" s="94"/>
      <c r="I21" s="95"/>
      <c r="J21" s="96">
        <v>4416.636</v>
      </c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</row>
    <row r="22" spans="1:130" s="98" customFormat="1" ht="25.5">
      <c r="A22" s="88">
        <v>5</v>
      </c>
      <c r="B22" s="89" t="s">
        <v>156</v>
      </c>
      <c r="C22" s="90" t="s">
        <v>12</v>
      </c>
      <c r="D22" s="91">
        <v>185</v>
      </c>
      <c r="E22" s="92">
        <f>2641.078+1775.558</f>
        <v>4416.636</v>
      </c>
      <c r="F22" s="92">
        <f t="shared" si="0"/>
        <v>4416.636</v>
      </c>
      <c r="G22" s="99"/>
      <c r="H22" s="94"/>
      <c r="I22" s="95"/>
      <c r="J22" s="96">
        <v>4727.962</v>
      </c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</row>
    <row r="23" spans="1:130" s="98" customFormat="1" ht="21" customHeight="1">
      <c r="A23" s="88">
        <v>6</v>
      </c>
      <c r="B23" s="89" t="s">
        <v>157</v>
      </c>
      <c r="C23" s="90" t="s">
        <v>12</v>
      </c>
      <c r="D23" s="100">
        <v>198</v>
      </c>
      <c r="E23" s="92">
        <f>2800.918+1927.044</f>
        <v>4727.962</v>
      </c>
      <c r="F23" s="92">
        <f t="shared" si="0"/>
        <v>4727.962</v>
      </c>
      <c r="G23" s="99"/>
      <c r="H23" s="94"/>
      <c r="I23" s="95"/>
      <c r="J23" s="96">
        <v>349.775</v>
      </c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</row>
    <row r="24" spans="1:130" s="98" customFormat="1" ht="12.75">
      <c r="A24" s="88">
        <v>7</v>
      </c>
      <c r="B24" s="89" t="s">
        <v>159</v>
      </c>
      <c r="C24" s="90" t="s">
        <v>12</v>
      </c>
      <c r="D24" s="100">
        <v>30</v>
      </c>
      <c r="E24" s="92">
        <f>279.065+70.71</f>
        <v>349.775</v>
      </c>
      <c r="F24" s="92">
        <f t="shared" si="0"/>
        <v>349.775</v>
      </c>
      <c r="G24" s="99"/>
      <c r="H24" s="94"/>
      <c r="I24" s="95"/>
      <c r="J24" s="96">
        <v>796.944</v>
      </c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</row>
    <row r="25" spans="1:130" s="98" customFormat="1" ht="12.75">
      <c r="A25" s="88">
        <v>8</v>
      </c>
      <c r="B25" s="89" t="s">
        <v>62</v>
      </c>
      <c r="C25" s="90" t="s">
        <v>12</v>
      </c>
      <c r="D25" s="100">
        <v>71</v>
      </c>
      <c r="E25" s="92">
        <f>629.597+167.347</f>
        <v>796.944</v>
      </c>
      <c r="F25" s="92">
        <f t="shared" si="0"/>
        <v>796.944</v>
      </c>
      <c r="G25" s="99"/>
      <c r="H25" s="94"/>
      <c r="I25" s="95"/>
      <c r="J25" s="96">
        <v>451.04</v>
      </c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</row>
    <row r="26" spans="1:130" s="30" customFormat="1" ht="12.75">
      <c r="A26" s="60">
        <v>9</v>
      </c>
      <c r="B26" s="14" t="s">
        <v>63</v>
      </c>
      <c r="C26" s="61" t="s">
        <v>12</v>
      </c>
      <c r="D26" s="66">
        <v>39</v>
      </c>
      <c r="E26" s="62">
        <f>359.117+91.923</f>
        <v>451.04</v>
      </c>
      <c r="F26" s="62">
        <f>E26</f>
        <v>451.04</v>
      </c>
      <c r="G26" s="65"/>
      <c r="H26" s="63"/>
      <c r="I26" s="64"/>
      <c r="J26" s="45">
        <v>1753.973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</row>
    <row r="27" spans="1:130" s="7" customFormat="1" ht="12.75">
      <c r="A27" s="67">
        <v>10</v>
      </c>
      <c r="B27" s="14" t="s">
        <v>64</v>
      </c>
      <c r="C27" s="5" t="s">
        <v>12</v>
      </c>
      <c r="D27" s="48">
        <v>175</v>
      </c>
      <c r="E27" s="31">
        <f>1617.83+136.143</f>
        <v>1753.973</v>
      </c>
      <c r="F27" s="31">
        <f aca="true" t="shared" si="1" ref="F27:F34">E27</f>
        <v>1753.973</v>
      </c>
      <c r="G27" s="68"/>
      <c r="H27" s="6"/>
      <c r="I27" s="3"/>
      <c r="J27" s="44">
        <v>1456.686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</row>
    <row r="28" spans="1:130" s="30" customFormat="1" ht="12.75">
      <c r="A28" s="60">
        <v>11</v>
      </c>
      <c r="B28" s="14" t="s">
        <v>160</v>
      </c>
      <c r="C28" s="61" t="s">
        <v>12</v>
      </c>
      <c r="D28" s="66">
        <v>125</v>
      </c>
      <c r="E28" s="62">
        <f>1162.043+294.643</f>
        <v>1456.686</v>
      </c>
      <c r="F28" s="62">
        <f t="shared" si="1"/>
        <v>1456.686</v>
      </c>
      <c r="G28" s="65"/>
      <c r="H28" s="63"/>
      <c r="I28" s="64"/>
      <c r="J28" s="45">
        <v>769.6390000000001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</row>
    <row r="29" spans="1:130" s="30" customFormat="1" ht="12.75">
      <c r="A29" s="60">
        <v>12</v>
      </c>
      <c r="B29" s="14" t="s">
        <v>65</v>
      </c>
      <c r="C29" s="61" t="s">
        <v>12</v>
      </c>
      <c r="D29" s="66">
        <v>68</v>
      </c>
      <c r="E29" s="62">
        <f>609.363+160.276</f>
        <v>769.6390000000001</v>
      </c>
      <c r="F29" s="62">
        <f t="shared" si="1"/>
        <v>769.6390000000001</v>
      </c>
      <c r="G29" s="65"/>
      <c r="H29" s="63"/>
      <c r="I29" s="64"/>
      <c r="J29" s="45">
        <v>209.31600000000003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</row>
    <row r="30" spans="1:130" s="30" customFormat="1" ht="12.75">
      <c r="A30" s="60">
        <v>13</v>
      </c>
      <c r="B30" s="14" t="s">
        <v>66</v>
      </c>
      <c r="C30" s="61" t="s">
        <v>12</v>
      </c>
      <c r="D30" s="66">
        <v>17</v>
      </c>
      <c r="E30" s="62">
        <f>169.247+40.069</f>
        <v>209.31600000000003</v>
      </c>
      <c r="F30" s="62">
        <f t="shared" si="1"/>
        <v>209.31600000000003</v>
      </c>
      <c r="G30" s="65"/>
      <c r="H30" s="63"/>
      <c r="I30" s="64"/>
      <c r="J30" s="45">
        <v>978.376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</row>
    <row r="31" spans="1:130" s="30" customFormat="1" ht="12.75">
      <c r="A31" s="60">
        <v>14</v>
      </c>
      <c r="B31" s="14" t="s">
        <v>138</v>
      </c>
      <c r="C31" s="61" t="s">
        <v>12</v>
      </c>
      <c r="D31" s="66">
        <v>87</v>
      </c>
      <c r="E31" s="62">
        <f>773.317+205.059</f>
        <v>978.376</v>
      </c>
      <c r="F31" s="62">
        <f t="shared" si="1"/>
        <v>978.376</v>
      </c>
      <c r="G31" s="65"/>
      <c r="H31" s="63"/>
      <c r="I31" s="69"/>
      <c r="J31" s="45">
        <v>1011.335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</row>
    <row r="32" spans="1:130" s="30" customFormat="1" ht="12.75">
      <c r="A32" s="60">
        <v>15</v>
      </c>
      <c r="B32" s="14" t="s">
        <v>67</v>
      </c>
      <c r="C32" s="61" t="s">
        <v>12</v>
      </c>
      <c r="D32" s="66">
        <v>90</v>
      </c>
      <c r="E32" s="62">
        <f>799.205+212.13</f>
        <v>1011.335</v>
      </c>
      <c r="F32" s="62">
        <f t="shared" si="1"/>
        <v>1011.335</v>
      </c>
      <c r="G32" s="65"/>
      <c r="H32" s="63"/>
      <c r="I32" s="64"/>
      <c r="J32" s="45">
        <v>6465.786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</row>
    <row r="33" spans="1:130" s="30" customFormat="1" ht="12.75">
      <c r="A33" s="60">
        <v>16</v>
      </c>
      <c r="B33" s="14" t="s">
        <v>68</v>
      </c>
      <c r="C33" s="61" t="s">
        <v>12</v>
      </c>
      <c r="D33" s="66">
        <v>267</v>
      </c>
      <c r="E33" s="62">
        <f>3871.352+2594.434</f>
        <v>6465.786</v>
      </c>
      <c r="F33" s="31">
        <f t="shared" si="1"/>
        <v>6465.786</v>
      </c>
      <c r="G33" s="65"/>
      <c r="H33" s="63"/>
      <c r="I33" s="64"/>
      <c r="J33" s="45">
        <v>333.014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</row>
    <row r="34" spans="1:130" s="30" customFormat="1" ht="12.75">
      <c r="A34" s="60">
        <v>17</v>
      </c>
      <c r="B34" s="14" t="s">
        <v>69</v>
      </c>
      <c r="C34" s="61" t="s">
        <v>12</v>
      </c>
      <c r="D34" s="66">
        <v>33</v>
      </c>
      <c r="E34" s="62">
        <f>307.341+25.673</f>
        <v>333.014</v>
      </c>
      <c r="F34" s="62">
        <f t="shared" si="1"/>
        <v>333.014</v>
      </c>
      <c r="G34" s="65"/>
      <c r="H34" s="63"/>
      <c r="I34" s="64"/>
      <c r="J34" s="45">
        <v>126.04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</row>
    <row r="35" spans="1:130" s="30" customFormat="1" ht="12.75">
      <c r="A35" s="60">
        <v>18</v>
      </c>
      <c r="B35" s="14" t="s">
        <v>70</v>
      </c>
      <c r="C35" s="61" t="s">
        <v>12</v>
      </c>
      <c r="D35" s="66">
        <v>11</v>
      </c>
      <c r="E35" s="62">
        <f>117.498+8.542</f>
        <v>126.04</v>
      </c>
      <c r="F35" s="62">
        <f t="shared" si="0"/>
        <v>126.04</v>
      </c>
      <c r="G35" s="65"/>
      <c r="H35" s="63"/>
      <c r="I35" s="64"/>
      <c r="J35" s="45">
        <v>586.924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</row>
    <row r="36" spans="1:130" s="7" customFormat="1" ht="12.75">
      <c r="A36" s="67">
        <v>19</v>
      </c>
      <c r="B36" s="14" t="s">
        <v>71</v>
      </c>
      <c r="C36" s="5" t="s">
        <v>12</v>
      </c>
      <c r="D36" s="66">
        <v>60</v>
      </c>
      <c r="E36" s="62">
        <f>540.329+46.595</f>
        <v>586.924</v>
      </c>
      <c r="F36" s="62">
        <f t="shared" si="0"/>
        <v>586.924</v>
      </c>
      <c r="G36" s="65"/>
      <c r="H36" s="6"/>
      <c r="I36" s="3"/>
      <c r="J36" s="44">
        <v>956.404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</row>
    <row r="37" spans="1:130" s="7" customFormat="1" ht="12.75">
      <c r="A37" s="67">
        <v>20</v>
      </c>
      <c r="B37" s="14" t="s">
        <v>72</v>
      </c>
      <c r="C37" s="5" t="s">
        <v>12</v>
      </c>
      <c r="D37" s="66">
        <v>85</v>
      </c>
      <c r="E37" s="62">
        <f>756.059+200.345</f>
        <v>956.404</v>
      </c>
      <c r="F37" s="62">
        <f t="shared" si="0"/>
        <v>956.404</v>
      </c>
      <c r="G37" s="65"/>
      <c r="H37" s="6"/>
      <c r="I37" s="3"/>
      <c r="J37" s="44">
        <v>6744.487999999999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</row>
    <row r="38" spans="1:130" s="7" customFormat="1" ht="25.5">
      <c r="A38" s="67">
        <v>21</v>
      </c>
      <c r="B38" s="14" t="s">
        <v>161</v>
      </c>
      <c r="C38" s="5" t="s">
        <v>12</v>
      </c>
      <c r="D38" s="66">
        <v>580</v>
      </c>
      <c r="E38" s="62">
        <f>5377.428+1367.06</f>
        <v>6744.487999999999</v>
      </c>
      <c r="F38" s="31">
        <f t="shared" si="0"/>
        <v>6744.487999999999</v>
      </c>
      <c r="G38" s="65"/>
      <c r="H38" s="6"/>
      <c r="I38" s="3"/>
      <c r="J38" s="44">
        <v>950.125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</row>
    <row r="39" spans="1:130" s="7" customFormat="1" ht="12.75">
      <c r="A39" s="67">
        <v>22</v>
      </c>
      <c r="B39" s="14" t="s">
        <v>73</v>
      </c>
      <c r="C39" s="5" t="s">
        <v>12</v>
      </c>
      <c r="D39" s="66">
        <v>45</v>
      </c>
      <c r="E39" s="62">
        <f>728.5+221.625</f>
        <v>950.125</v>
      </c>
      <c r="F39" s="31">
        <f t="shared" si="0"/>
        <v>950.125</v>
      </c>
      <c r="G39" s="65"/>
      <c r="H39" s="6"/>
      <c r="I39" s="3"/>
      <c r="J39" s="44">
        <v>6397.4929999999995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</row>
    <row r="40" spans="1:130" s="7" customFormat="1" ht="12.75">
      <c r="A40" s="67">
        <v>23</v>
      </c>
      <c r="B40" s="14" t="s">
        <v>162</v>
      </c>
      <c r="C40" s="5" t="s">
        <v>12</v>
      </c>
      <c r="D40" s="66">
        <v>329</v>
      </c>
      <c r="E40" s="62">
        <f>4777.168+1620.325</f>
        <v>6397.4929999999995</v>
      </c>
      <c r="F40" s="31">
        <f t="shared" si="0"/>
        <v>6397.4929999999995</v>
      </c>
      <c r="G40" s="65"/>
      <c r="H40" s="6"/>
      <c r="I40" s="3"/>
      <c r="J40" s="44">
        <v>963.285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</row>
    <row r="41" spans="1:130" s="7" customFormat="1" ht="12.75">
      <c r="A41" s="67">
        <v>24</v>
      </c>
      <c r="B41" s="14" t="s">
        <v>74</v>
      </c>
      <c r="C41" s="5" t="s">
        <v>12</v>
      </c>
      <c r="D41" s="66">
        <v>100</v>
      </c>
      <c r="E41" s="62">
        <f>885.497+77.788</f>
        <v>963.285</v>
      </c>
      <c r="F41" s="31">
        <f t="shared" si="0"/>
        <v>963.285</v>
      </c>
      <c r="G41" s="65"/>
      <c r="H41" s="6"/>
      <c r="I41" s="3"/>
      <c r="J41" s="44">
        <v>494.985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</row>
    <row r="42" spans="1:130" s="7" customFormat="1" ht="12.75">
      <c r="A42" s="67">
        <v>25</v>
      </c>
      <c r="B42" s="14" t="s">
        <v>75</v>
      </c>
      <c r="C42" s="5" t="s">
        <v>12</v>
      </c>
      <c r="D42" s="66">
        <v>43</v>
      </c>
      <c r="E42" s="62">
        <f>393.634+101.351</f>
        <v>494.985</v>
      </c>
      <c r="F42" s="31">
        <f t="shared" si="0"/>
        <v>494.985</v>
      </c>
      <c r="G42" s="65"/>
      <c r="H42" s="6"/>
      <c r="I42" s="3"/>
      <c r="J42" s="44">
        <v>7222.077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</row>
    <row r="43" spans="1:130" s="7" customFormat="1" ht="12.75">
      <c r="A43" s="67">
        <v>26</v>
      </c>
      <c r="B43" s="14" t="s">
        <v>143</v>
      </c>
      <c r="C43" s="5" t="s">
        <v>12</v>
      </c>
      <c r="D43" s="66">
        <v>763</v>
      </c>
      <c r="E43" s="31">
        <f>7000.452+221.625</f>
        <v>7222.077</v>
      </c>
      <c r="F43" s="31">
        <f t="shared" si="0"/>
        <v>7222.077</v>
      </c>
      <c r="G43" s="65"/>
      <c r="H43" s="6"/>
      <c r="I43" s="3"/>
      <c r="J43" s="44">
        <v>396.10800000000006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</row>
    <row r="44" spans="1:130" s="7" customFormat="1" ht="12.75">
      <c r="A44" s="67">
        <v>27</v>
      </c>
      <c r="B44" s="14" t="s">
        <v>139</v>
      </c>
      <c r="C44" s="5" t="s">
        <v>12</v>
      </c>
      <c r="D44" s="66">
        <v>34</v>
      </c>
      <c r="E44" s="62">
        <f>315.97+80.138</f>
        <v>396.10800000000006</v>
      </c>
      <c r="F44" s="31">
        <f t="shared" si="0"/>
        <v>396.10800000000006</v>
      </c>
      <c r="G44" s="65"/>
      <c r="H44" s="6"/>
      <c r="I44" s="3"/>
      <c r="J44" s="44">
        <v>11132.673999999999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</row>
    <row r="45" spans="1:130" s="7" customFormat="1" ht="12.75">
      <c r="A45" s="67">
        <v>28</v>
      </c>
      <c r="B45" s="14" t="s">
        <v>163</v>
      </c>
      <c r="C45" s="5" t="s">
        <v>12</v>
      </c>
      <c r="D45" s="66">
        <v>576</v>
      </c>
      <c r="E45" s="62">
        <f>8295.874+2836.8</f>
        <v>11132.673999999999</v>
      </c>
      <c r="F45" s="31">
        <f t="shared" si="0"/>
        <v>11132.673999999999</v>
      </c>
      <c r="G45" s="70"/>
      <c r="H45" s="6"/>
      <c r="I45" s="3"/>
      <c r="J45" s="44">
        <v>370.729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130" s="7" customFormat="1" ht="12.75">
      <c r="A46" s="67">
        <v>29</v>
      </c>
      <c r="B46" s="14" t="s">
        <v>153</v>
      </c>
      <c r="C46" s="5" t="s">
        <v>12</v>
      </c>
      <c r="D46" s="66">
        <v>37</v>
      </c>
      <c r="E46" s="62">
        <f>341.858+28.871</f>
        <v>370.729</v>
      </c>
      <c r="F46" s="31">
        <f t="shared" si="0"/>
        <v>370.729</v>
      </c>
      <c r="G46" s="70"/>
      <c r="H46" s="6"/>
      <c r="I46" s="3"/>
      <c r="J46" s="44">
        <v>5013.791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130" s="7" customFormat="1" ht="12.75">
      <c r="A47" s="67">
        <v>30</v>
      </c>
      <c r="B47" s="14" t="s">
        <v>164</v>
      </c>
      <c r="C47" s="5" t="s">
        <v>12</v>
      </c>
      <c r="D47" s="66">
        <v>258</v>
      </c>
      <c r="E47" s="62">
        <f>3743.141+1270.65</f>
        <v>5013.791</v>
      </c>
      <c r="F47" s="31">
        <f t="shared" si="0"/>
        <v>5013.791</v>
      </c>
      <c r="G47" s="70"/>
      <c r="H47" s="71"/>
      <c r="I47" s="3"/>
      <c r="J47" s="44">
        <v>3534.3509999999997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130" s="7" customFormat="1" ht="25.5">
      <c r="A48" s="67">
        <v>31</v>
      </c>
      <c r="B48" s="14" t="s">
        <v>165</v>
      </c>
      <c r="C48" s="5" t="s">
        <v>12</v>
      </c>
      <c r="D48" s="66">
        <v>130</v>
      </c>
      <c r="E48" s="62">
        <f>1874.529+1659.822</f>
        <v>3534.3509999999997</v>
      </c>
      <c r="F48" s="31">
        <f t="shared" si="0"/>
        <v>3534.3509999999997</v>
      </c>
      <c r="G48" s="70"/>
      <c r="H48" s="71"/>
      <c r="I48" s="3"/>
      <c r="J48" s="44">
        <v>5604.68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s="7" customFormat="1" ht="12.75">
      <c r="A49" s="67">
        <v>32</v>
      </c>
      <c r="B49" s="14" t="s">
        <v>140</v>
      </c>
      <c r="C49" s="5" t="s">
        <v>12</v>
      </c>
      <c r="D49" s="66">
        <v>290</v>
      </c>
      <c r="E49" s="62">
        <f>4176.43+1428.25</f>
        <v>5604.68</v>
      </c>
      <c r="F49" s="31">
        <f t="shared" si="0"/>
        <v>5604.68</v>
      </c>
      <c r="G49" s="70"/>
      <c r="H49" s="71"/>
      <c r="I49" s="3"/>
      <c r="J49" s="44">
        <v>1294.486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s="7" customFormat="1" ht="12.75">
      <c r="A50" s="67">
        <v>33</v>
      </c>
      <c r="B50" s="14" t="s">
        <v>142</v>
      </c>
      <c r="C50" s="5" t="s">
        <v>12</v>
      </c>
      <c r="D50" s="66">
        <v>50</v>
      </c>
      <c r="E50" s="62">
        <f>806.936+487.55</f>
        <v>1294.486</v>
      </c>
      <c r="F50" s="31">
        <f t="shared" si="0"/>
        <v>1294.486</v>
      </c>
      <c r="G50" s="70"/>
      <c r="H50" s="71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s="7" customFormat="1" ht="16.5" customHeight="1">
      <c r="A51" s="142" t="s">
        <v>82</v>
      </c>
      <c r="B51" s="142"/>
      <c r="C51" s="1"/>
      <c r="D51" s="53">
        <f>SUM(D18:D50)</f>
        <v>4925</v>
      </c>
      <c r="E51" s="53">
        <f>SUM(E18:E50)</f>
        <v>78415.527</v>
      </c>
      <c r="F51" s="53">
        <f>SUM(F18:F50)</f>
        <v>78415.527</v>
      </c>
      <c r="G51" s="53"/>
      <c r="H51" s="6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s="7" customFormat="1" ht="16.5" customHeight="1">
      <c r="A52" s="59">
        <v>2</v>
      </c>
      <c r="B52" s="142" t="s">
        <v>83</v>
      </c>
      <c r="C52" s="142"/>
      <c r="D52" s="142"/>
      <c r="E52" s="142"/>
      <c r="F52" s="142"/>
      <c r="G52" s="142"/>
      <c r="H52" s="142"/>
      <c r="I52" s="14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s="98" customFormat="1" ht="12.75">
      <c r="A53" s="88">
        <v>1</v>
      </c>
      <c r="B53" s="89" t="s">
        <v>76</v>
      </c>
      <c r="C53" s="90" t="s">
        <v>12</v>
      </c>
      <c r="D53" s="91">
        <v>69</v>
      </c>
      <c r="E53" s="91">
        <f>1506.586+880.982</f>
        <v>2387.568</v>
      </c>
      <c r="F53" s="101">
        <f aca="true" t="shared" si="2" ref="F53:F59">E53</f>
        <v>2387.568</v>
      </c>
      <c r="G53" s="93"/>
      <c r="H53" s="94"/>
      <c r="I53" s="95"/>
      <c r="J53" s="96">
        <v>2387.568</v>
      </c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</row>
    <row r="54" spans="1:130" s="98" customFormat="1" ht="12.75">
      <c r="A54" s="88">
        <v>2</v>
      </c>
      <c r="B54" s="89" t="s">
        <v>77</v>
      </c>
      <c r="C54" s="90" t="s">
        <v>12</v>
      </c>
      <c r="D54" s="91">
        <v>191</v>
      </c>
      <c r="E54" s="91">
        <f>4057.229+2438.661</f>
        <v>6495.889999999999</v>
      </c>
      <c r="F54" s="101">
        <f t="shared" si="2"/>
        <v>6495.889999999999</v>
      </c>
      <c r="G54" s="93"/>
      <c r="H54" s="94"/>
      <c r="I54" s="95"/>
      <c r="J54" s="96">
        <v>6495.889999999999</v>
      </c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</row>
    <row r="55" spans="1:130" s="98" customFormat="1" ht="12.75">
      <c r="A55" s="88">
        <v>3</v>
      </c>
      <c r="B55" s="89" t="s">
        <v>78</v>
      </c>
      <c r="C55" s="90" t="s">
        <v>12</v>
      </c>
      <c r="D55" s="91">
        <v>82</v>
      </c>
      <c r="E55" s="91">
        <f>1961.704+1312</f>
        <v>3273.7039999999997</v>
      </c>
      <c r="F55" s="101">
        <f t="shared" si="2"/>
        <v>3273.7039999999997</v>
      </c>
      <c r="G55" s="93"/>
      <c r="H55" s="94"/>
      <c r="I55" s="95"/>
      <c r="J55" s="96">
        <v>3273.7039999999997</v>
      </c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</row>
    <row r="56" spans="1:130" s="98" customFormat="1" ht="12.75">
      <c r="A56" s="88">
        <v>4</v>
      </c>
      <c r="B56" s="89" t="s">
        <v>79</v>
      </c>
      <c r="C56" s="90" t="s">
        <v>12</v>
      </c>
      <c r="D56" s="91">
        <v>115</v>
      </c>
      <c r="E56" s="91">
        <f>1636.259+11039.725</f>
        <v>12675.984</v>
      </c>
      <c r="F56" s="101">
        <f t="shared" si="2"/>
        <v>12675.984</v>
      </c>
      <c r="G56" s="93"/>
      <c r="H56" s="94"/>
      <c r="I56" s="95"/>
      <c r="J56" s="96">
        <v>12675.984</v>
      </c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</row>
    <row r="57" spans="1:130" s="98" customFormat="1" ht="12.75">
      <c r="A57" s="88">
        <v>5</v>
      </c>
      <c r="B57" s="89" t="s">
        <v>80</v>
      </c>
      <c r="C57" s="90" t="s">
        <v>12</v>
      </c>
      <c r="D57" s="91">
        <v>162</v>
      </c>
      <c r="E57" s="91">
        <f>1961.704+1312</f>
        <v>3273.7039999999997</v>
      </c>
      <c r="F57" s="101">
        <f t="shared" si="2"/>
        <v>3273.7039999999997</v>
      </c>
      <c r="G57" s="93"/>
      <c r="H57" s="94"/>
      <c r="I57" s="95"/>
      <c r="J57" s="96">
        <v>3273.7039999999997</v>
      </c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</row>
    <row r="58" spans="1:130" s="7" customFormat="1" ht="12.75">
      <c r="A58" s="67">
        <v>6</v>
      </c>
      <c r="B58" s="14" t="s">
        <v>124</v>
      </c>
      <c r="C58" s="5" t="s">
        <v>12</v>
      </c>
      <c r="D58" s="1">
        <v>57</v>
      </c>
      <c r="E58" s="1">
        <f>916.745+280.725</f>
        <v>1197.47</v>
      </c>
      <c r="F58" s="4">
        <f t="shared" si="2"/>
        <v>1197.47</v>
      </c>
      <c r="G58" s="71"/>
      <c r="H58" s="6"/>
      <c r="I58" s="3"/>
      <c r="J58" s="44">
        <v>1197.47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s="7" customFormat="1" ht="12.75">
      <c r="A59" s="67">
        <v>7</v>
      </c>
      <c r="B59" s="14" t="s">
        <v>125</v>
      </c>
      <c r="C59" s="5" t="s">
        <v>12</v>
      </c>
      <c r="D59" s="1">
        <v>108</v>
      </c>
      <c r="E59" s="1">
        <f>1561.121+1092.96</f>
        <v>2654.081</v>
      </c>
      <c r="F59" s="4">
        <f t="shared" si="2"/>
        <v>2654.081</v>
      </c>
      <c r="G59" s="71"/>
      <c r="H59" s="6"/>
      <c r="I59" s="3"/>
      <c r="J59" s="44">
        <v>2654.081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s="7" customFormat="1" ht="12.75">
      <c r="A60" s="67">
        <v>8</v>
      </c>
      <c r="B60" s="14" t="s">
        <v>158</v>
      </c>
      <c r="C60" s="5" t="s">
        <v>12</v>
      </c>
      <c r="D60" s="66">
        <v>55</v>
      </c>
      <c r="E60" s="62">
        <f>885.371+270.875</f>
        <v>1156.246</v>
      </c>
      <c r="F60" s="31">
        <f>E60</f>
        <v>1156.246</v>
      </c>
      <c r="G60" s="70"/>
      <c r="H60" s="6"/>
      <c r="I60" s="3"/>
      <c r="J60" s="44">
        <v>1156.246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s="7" customFormat="1" ht="12.75">
      <c r="A61" s="67">
        <v>9</v>
      </c>
      <c r="B61" s="14" t="s">
        <v>141</v>
      </c>
      <c r="C61" s="5" t="s">
        <v>12</v>
      </c>
      <c r="D61" s="66">
        <v>50</v>
      </c>
      <c r="E61" s="62">
        <f>806.936+638.393</f>
        <v>1445.3290000000002</v>
      </c>
      <c r="F61" s="31">
        <v>1445</v>
      </c>
      <c r="G61" s="70"/>
      <c r="H61" s="6"/>
      <c r="I61" s="3"/>
      <c r="J61" s="44">
        <v>1445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s="7" customFormat="1" ht="18.75" customHeight="1">
      <c r="A62" s="144" t="s">
        <v>84</v>
      </c>
      <c r="B62" s="144"/>
      <c r="C62" s="53"/>
      <c r="D62" s="53">
        <f>SUM(D53:D61)</f>
        <v>889</v>
      </c>
      <c r="E62" s="53">
        <f>SUM(E53:E61)</f>
        <v>34559.975999999995</v>
      </c>
      <c r="F62" s="53">
        <f>SUM(F53:F61)</f>
        <v>34559.647</v>
      </c>
      <c r="G62" s="53"/>
      <c r="H62" s="6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s="7" customFormat="1" ht="14.25" customHeight="1">
      <c r="A63" s="59">
        <v>3</v>
      </c>
      <c r="B63" s="72" t="s">
        <v>169</v>
      </c>
      <c r="C63" s="72"/>
      <c r="D63" s="72"/>
      <c r="E63" s="53">
        <f>SUM(E64:E66)</f>
        <v>75343.07514285714</v>
      </c>
      <c r="F63" s="53">
        <f>E63</f>
        <v>75343.07514285714</v>
      </c>
      <c r="G63" s="72"/>
      <c r="H63" s="72"/>
      <c r="I63" s="7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s="7" customFormat="1" ht="18" customHeight="1">
      <c r="A64" s="73">
        <v>1</v>
      </c>
      <c r="B64" s="15" t="s">
        <v>167</v>
      </c>
      <c r="C64" s="1" t="s">
        <v>13</v>
      </c>
      <c r="D64" s="1">
        <v>3</v>
      </c>
      <c r="E64" s="1">
        <v>11667.668</v>
      </c>
      <c r="F64" s="1">
        <f>E64</f>
        <v>11667.668</v>
      </c>
      <c r="G64" s="1"/>
      <c r="H64" s="1"/>
      <c r="I64" s="5"/>
      <c r="J64" s="44">
        <v>11667.668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s="7" customFormat="1" ht="17.25" customHeight="1">
      <c r="A65" s="73">
        <v>2</v>
      </c>
      <c r="B65" s="15" t="s">
        <v>145</v>
      </c>
      <c r="C65" s="1" t="s">
        <v>13</v>
      </c>
      <c r="D65" s="1">
        <v>8</v>
      </c>
      <c r="E65" s="1">
        <f>14701.456/1.12</f>
        <v>13126.3</v>
      </c>
      <c r="F65" s="1">
        <f>E65</f>
        <v>13126.3</v>
      </c>
      <c r="G65" s="1"/>
      <c r="H65" s="1"/>
      <c r="I65" s="5"/>
      <c r="J65" s="44">
        <v>13126.3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s="7" customFormat="1" ht="18" customHeight="1">
      <c r="A66" s="73">
        <v>3</v>
      </c>
      <c r="B66" s="15" t="s">
        <v>148</v>
      </c>
      <c r="C66" s="1" t="s">
        <v>13</v>
      </c>
      <c r="D66" s="1">
        <v>1</v>
      </c>
      <c r="E66" s="1">
        <f>56615/1.12</f>
        <v>50549.10714285714</v>
      </c>
      <c r="F66" s="1">
        <f>56615/1.12</f>
        <v>50549.10714285714</v>
      </c>
      <c r="G66" s="1"/>
      <c r="H66" s="1"/>
      <c r="I66" s="5"/>
      <c r="J66" s="44">
        <v>50549.10714285714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</row>
    <row r="67" spans="1:130" s="28" customFormat="1" ht="12.75">
      <c r="A67" s="59">
        <v>4</v>
      </c>
      <c r="B67" s="54" t="s">
        <v>171</v>
      </c>
      <c r="C67" s="1" t="s">
        <v>13</v>
      </c>
      <c r="D67" s="53"/>
      <c r="E67" s="53">
        <f>SUM(E68:E72)</f>
        <v>4513.7919999999995</v>
      </c>
      <c r="F67" s="53">
        <f aca="true" t="shared" si="3" ref="F67:F80">E67</f>
        <v>4513.7919999999995</v>
      </c>
      <c r="G67" s="53"/>
      <c r="H67" s="53"/>
      <c r="I67" s="51"/>
      <c r="J67" s="46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</row>
    <row r="68" spans="1:130" s="7" customFormat="1" ht="12.75">
      <c r="A68" s="73">
        <v>1</v>
      </c>
      <c r="B68" s="15" t="s">
        <v>95</v>
      </c>
      <c r="C68" s="1" t="s">
        <v>13</v>
      </c>
      <c r="D68" s="1">
        <v>2</v>
      </c>
      <c r="E68" s="1">
        <f>142*2</f>
        <v>284</v>
      </c>
      <c r="F68" s="1">
        <f t="shared" si="3"/>
        <v>284</v>
      </c>
      <c r="G68" s="53"/>
      <c r="H68" s="53"/>
      <c r="I68" s="51"/>
      <c r="J68" s="44">
        <v>568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s="7" customFormat="1" ht="29.25" customHeight="1">
      <c r="A69" s="73">
        <v>2</v>
      </c>
      <c r="B69" s="15" t="s">
        <v>137</v>
      </c>
      <c r="C69" s="1" t="s">
        <v>13</v>
      </c>
      <c r="D69" s="1">
        <v>1</v>
      </c>
      <c r="E69" s="1">
        <v>2567.792</v>
      </c>
      <c r="F69" s="1">
        <f t="shared" si="3"/>
        <v>2567.792</v>
      </c>
      <c r="G69" s="1"/>
      <c r="H69" s="1"/>
      <c r="I69" s="5"/>
      <c r="J69" s="44">
        <v>2567.792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s="7" customFormat="1" ht="12.75">
      <c r="A70" s="73">
        <v>3</v>
      </c>
      <c r="B70" s="15" t="s">
        <v>114</v>
      </c>
      <c r="C70" s="1" t="s">
        <v>13</v>
      </c>
      <c r="D70" s="1">
        <v>1</v>
      </c>
      <c r="E70" s="1">
        <v>250</v>
      </c>
      <c r="F70" s="1">
        <f t="shared" si="3"/>
        <v>250</v>
      </c>
      <c r="G70" s="1"/>
      <c r="H70" s="1"/>
      <c r="I70" s="5"/>
      <c r="J70" s="44">
        <v>250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s="7" customFormat="1" ht="15" customHeight="1">
      <c r="A71" s="73">
        <v>4</v>
      </c>
      <c r="B71" s="15" t="s">
        <v>115</v>
      </c>
      <c r="C71" s="1" t="s">
        <v>13</v>
      </c>
      <c r="D71" s="1">
        <v>1</v>
      </c>
      <c r="E71" s="1">
        <v>162</v>
      </c>
      <c r="F71" s="1">
        <f t="shared" si="3"/>
        <v>162</v>
      </c>
      <c r="G71" s="1"/>
      <c r="H71" s="1"/>
      <c r="I71" s="5"/>
      <c r="J71" s="44">
        <v>162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s="98" customFormat="1" ht="12.75">
      <c r="A72" s="102">
        <v>5</v>
      </c>
      <c r="B72" s="103" t="s">
        <v>151</v>
      </c>
      <c r="C72" s="91" t="s">
        <v>13</v>
      </c>
      <c r="D72" s="91">
        <v>1</v>
      </c>
      <c r="E72" s="91">
        <v>1250</v>
      </c>
      <c r="F72" s="91">
        <f t="shared" si="3"/>
        <v>1250</v>
      </c>
      <c r="G72" s="91"/>
      <c r="H72" s="91"/>
      <c r="I72" s="90"/>
      <c r="J72" s="96">
        <v>1250</v>
      </c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</row>
    <row r="73" spans="1:130" s="28" customFormat="1" ht="25.5">
      <c r="A73" s="59">
        <v>5</v>
      </c>
      <c r="B73" s="54" t="s">
        <v>172</v>
      </c>
      <c r="C73" s="1" t="s">
        <v>13</v>
      </c>
      <c r="D73" s="53"/>
      <c r="E73" s="53">
        <f>E74</f>
        <v>1128</v>
      </c>
      <c r="F73" s="53">
        <f t="shared" si="3"/>
        <v>1128</v>
      </c>
      <c r="G73" s="53"/>
      <c r="H73" s="53"/>
      <c r="I73" s="51"/>
      <c r="J73" s="46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</row>
    <row r="74" spans="1:130" s="98" customFormat="1" ht="29.25" customHeight="1">
      <c r="A74" s="102">
        <v>1</v>
      </c>
      <c r="B74" s="103" t="s">
        <v>113</v>
      </c>
      <c r="C74" s="91" t="s">
        <v>13</v>
      </c>
      <c r="D74" s="91">
        <v>1</v>
      </c>
      <c r="E74" s="91">
        <v>1128</v>
      </c>
      <c r="F74" s="91">
        <f t="shared" si="3"/>
        <v>1128</v>
      </c>
      <c r="G74" s="91"/>
      <c r="H74" s="91"/>
      <c r="I74" s="90"/>
      <c r="J74" s="96">
        <v>1128</v>
      </c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</row>
    <row r="75" spans="1:130" s="7" customFormat="1" ht="12.75">
      <c r="A75" s="59">
        <v>6</v>
      </c>
      <c r="B75" s="54" t="s">
        <v>173</v>
      </c>
      <c r="C75" s="1" t="s">
        <v>13</v>
      </c>
      <c r="D75" s="1"/>
      <c r="E75" s="53">
        <f>SUM(E76:E79)</f>
        <v>2032.84</v>
      </c>
      <c r="F75" s="53">
        <f t="shared" si="3"/>
        <v>2032.84</v>
      </c>
      <c r="G75" s="53"/>
      <c r="H75" s="53"/>
      <c r="I75" s="5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s="98" customFormat="1" ht="30.75" customHeight="1">
      <c r="A76" s="102">
        <v>1</v>
      </c>
      <c r="B76" s="103" t="s">
        <v>110</v>
      </c>
      <c r="C76" s="91" t="s">
        <v>13</v>
      </c>
      <c r="D76" s="91">
        <v>1</v>
      </c>
      <c r="E76" s="91">
        <v>1268.86</v>
      </c>
      <c r="F76" s="91">
        <f t="shared" si="3"/>
        <v>1268.86</v>
      </c>
      <c r="G76" s="91"/>
      <c r="H76" s="91"/>
      <c r="I76" s="90"/>
      <c r="J76" s="96">
        <v>1268.86</v>
      </c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</row>
    <row r="77" spans="1:130" s="98" customFormat="1" ht="12.75">
      <c r="A77" s="102">
        <v>2</v>
      </c>
      <c r="B77" s="103" t="s">
        <v>112</v>
      </c>
      <c r="C77" s="91" t="s">
        <v>13</v>
      </c>
      <c r="D77" s="91">
        <v>1</v>
      </c>
      <c r="E77" s="91">
        <v>345</v>
      </c>
      <c r="F77" s="91">
        <f t="shared" si="3"/>
        <v>345</v>
      </c>
      <c r="G77" s="91"/>
      <c r="H77" s="91"/>
      <c r="I77" s="90"/>
      <c r="J77" s="96">
        <v>345</v>
      </c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</row>
    <row r="78" spans="1:130" s="7" customFormat="1" ht="12.75">
      <c r="A78" s="73">
        <v>3</v>
      </c>
      <c r="B78" s="15" t="s">
        <v>112</v>
      </c>
      <c r="C78" s="1" t="s">
        <v>13</v>
      </c>
      <c r="D78" s="1">
        <v>1</v>
      </c>
      <c r="E78" s="1">
        <v>134.98</v>
      </c>
      <c r="F78" s="1">
        <f t="shared" si="3"/>
        <v>134.98</v>
      </c>
      <c r="G78" s="1"/>
      <c r="H78" s="1"/>
      <c r="I78" s="5"/>
      <c r="J78" s="44">
        <v>134.98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s="7" customFormat="1" ht="12.75">
      <c r="A79" s="73">
        <v>4</v>
      </c>
      <c r="B79" s="15" t="s">
        <v>95</v>
      </c>
      <c r="C79" s="1" t="s">
        <v>13</v>
      </c>
      <c r="D79" s="1">
        <v>2</v>
      </c>
      <c r="E79" s="1">
        <f>142*2</f>
        <v>284</v>
      </c>
      <c r="F79" s="1">
        <f t="shared" si="3"/>
        <v>284</v>
      </c>
      <c r="G79" s="53"/>
      <c r="H79" s="53"/>
      <c r="I79" s="51"/>
      <c r="J79" s="44">
        <v>568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s="7" customFormat="1" ht="32.25" customHeight="1">
      <c r="A80" s="59">
        <v>7</v>
      </c>
      <c r="B80" s="72" t="s">
        <v>170</v>
      </c>
      <c r="C80" s="1" t="s">
        <v>13</v>
      </c>
      <c r="D80" s="72"/>
      <c r="E80" s="53">
        <f>SUM(E81:E93)</f>
        <v>9369.18742857143</v>
      </c>
      <c r="F80" s="53">
        <f t="shared" si="3"/>
        <v>9369.18742857143</v>
      </c>
      <c r="G80" s="72"/>
      <c r="H80" s="72"/>
      <c r="I80" s="7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s="98" customFormat="1" ht="12.75">
      <c r="A81" s="102">
        <v>1</v>
      </c>
      <c r="B81" s="103" t="s">
        <v>150</v>
      </c>
      <c r="C81" s="91" t="s">
        <v>13</v>
      </c>
      <c r="D81" s="91">
        <v>50</v>
      </c>
      <c r="E81" s="91">
        <v>2160</v>
      </c>
      <c r="F81" s="91">
        <f aca="true" t="shared" si="4" ref="F81:F93">E81</f>
        <v>2160</v>
      </c>
      <c r="G81" s="105"/>
      <c r="H81" s="105"/>
      <c r="I81" s="106"/>
      <c r="J81" s="96">
        <v>2160</v>
      </c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  <c r="DY81" s="97"/>
      <c r="DZ81" s="97"/>
    </row>
    <row r="82" spans="1:130" s="98" customFormat="1" ht="12.75">
      <c r="A82" s="102">
        <v>2</v>
      </c>
      <c r="B82" s="103" t="s">
        <v>129</v>
      </c>
      <c r="C82" s="91" t="s">
        <v>13</v>
      </c>
      <c r="D82" s="91">
        <v>3</v>
      </c>
      <c r="E82" s="91">
        <v>1666.5</v>
      </c>
      <c r="F82" s="91">
        <f t="shared" si="4"/>
        <v>1666.5</v>
      </c>
      <c r="G82" s="105"/>
      <c r="H82" s="105"/>
      <c r="I82" s="106"/>
      <c r="J82" s="96">
        <v>1666.5</v>
      </c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7"/>
      <c r="DY82" s="97"/>
      <c r="DZ82" s="97"/>
    </row>
    <row r="83" spans="1:130" s="98" customFormat="1" ht="12.75">
      <c r="A83" s="102">
        <v>3</v>
      </c>
      <c r="B83" s="103" t="s">
        <v>130</v>
      </c>
      <c r="C83" s="91" t="s">
        <v>13</v>
      </c>
      <c r="D83" s="91">
        <v>6</v>
      </c>
      <c r="E83" s="91">
        <v>584.316</v>
      </c>
      <c r="F83" s="91">
        <f t="shared" si="4"/>
        <v>584.316</v>
      </c>
      <c r="G83" s="105"/>
      <c r="H83" s="105"/>
      <c r="I83" s="106"/>
      <c r="J83" s="96">
        <v>584.316</v>
      </c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  <c r="DX83" s="97"/>
      <c r="DY83" s="97"/>
      <c r="DZ83" s="97"/>
    </row>
    <row r="84" spans="1:130" s="7" customFormat="1" ht="12.75">
      <c r="A84" s="73">
        <v>4</v>
      </c>
      <c r="B84" s="15" t="s">
        <v>96</v>
      </c>
      <c r="C84" s="1" t="s">
        <v>13</v>
      </c>
      <c r="D84" s="1">
        <v>1</v>
      </c>
      <c r="E84" s="1">
        <f>1320/1.12</f>
        <v>1178.5714285714284</v>
      </c>
      <c r="F84" s="1">
        <f t="shared" si="4"/>
        <v>1178.5714285714284</v>
      </c>
      <c r="G84" s="53"/>
      <c r="H84" s="53"/>
      <c r="I84" s="51"/>
      <c r="J84" s="44">
        <v>1178.5714285714284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s="98" customFormat="1" ht="12.75">
      <c r="A85" s="102">
        <v>5</v>
      </c>
      <c r="B85" s="103" t="s">
        <v>128</v>
      </c>
      <c r="C85" s="91" t="s">
        <v>13</v>
      </c>
      <c r="D85" s="91">
        <v>20</v>
      </c>
      <c r="E85" s="91">
        <v>640</v>
      </c>
      <c r="F85" s="91">
        <f t="shared" si="4"/>
        <v>640</v>
      </c>
      <c r="G85" s="105"/>
      <c r="H85" s="105"/>
      <c r="I85" s="106"/>
      <c r="J85" s="96">
        <v>640</v>
      </c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  <c r="DY85" s="97"/>
      <c r="DZ85" s="97"/>
    </row>
    <row r="86" spans="1:130" s="7" customFormat="1" ht="25.5">
      <c r="A86" s="73">
        <v>6</v>
      </c>
      <c r="B86" s="15" t="s">
        <v>135</v>
      </c>
      <c r="C86" s="1" t="s">
        <v>13</v>
      </c>
      <c r="D86" s="1">
        <v>8</v>
      </c>
      <c r="E86" s="1">
        <v>599.2</v>
      </c>
      <c r="F86" s="1">
        <f t="shared" si="4"/>
        <v>599.2</v>
      </c>
      <c r="G86" s="53"/>
      <c r="H86" s="53"/>
      <c r="I86" s="53"/>
      <c r="J86" s="44">
        <v>599.2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s="7" customFormat="1" ht="25.5">
      <c r="A87" s="73">
        <v>7</v>
      </c>
      <c r="B87" s="15" t="s">
        <v>134</v>
      </c>
      <c r="C87" s="1" t="s">
        <v>13</v>
      </c>
      <c r="D87" s="1">
        <v>10</v>
      </c>
      <c r="E87" s="1">
        <v>479</v>
      </c>
      <c r="F87" s="1">
        <f t="shared" si="4"/>
        <v>479</v>
      </c>
      <c r="G87" s="53"/>
      <c r="H87" s="53"/>
      <c r="I87" s="51"/>
      <c r="J87" s="44">
        <v>479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s="98" customFormat="1" ht="12.75">
      <c r="A88" s="102">
        <v>8</v>
      </c>
      <c r="B88" s="103" t="s">
        <v>127</v>
      </c>
      <c r="C88" s="91" t="s">
        <v>13</v>
      </c>
      <c r="D88" s="91">
        <v>8</v>
      </c>
      <c r="E88" s="91">
        <v>440</v>
      </c>
      <c r="F88" s="91">
        <f t="shared" si="4"/>
        <v>440</v>
      </c>
      <c r="G88" s="105"/>
      <c r="H88" s="105"/>
      <c r="I88" s="106"/>
      <c r="J88" s="96">
        <v>440</v>
      </c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  <c r="DY88" s="97"/>
      <c r="DZ88" s="97"/>
    </row>
    <row r="89" spans="1:130" s="7" customFormat="1" ht="25.5">
      <c r="A89" s="73">
        <v>9</v>
      </c>
      <c r="B89" s="15" t="s">
        <v>131</v>
      </c>
      <c r="C89" s="1" t="s">
        <v>13</v>
      </c>
      <c r="D89" s="1">
        <v>6</v>
      </c>
      <c r="E89" s="1">
        <v>413.4</v>
      </c>
      <c r="F89" s="1">
        <f t="shared" si="4"/>
        <v>413.4</v>
      </c>
      <c r="G89" s="53"/>
      <c r="H89" s="53"/>
      <c r="I89" s="51"/>
      <c r="J89" s="44">
        <v>413.4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s="7" customFormat="1" ht="18.75" customHeight="1">
      <c r="A90" s="73">
        <v>10</v>
      </c>
      <c r="B90" s="15" t="s">
        <v>132</v>
      </c>
      <c r="C90" s="1" t="s">
        <v>13</v>
      </c>
      <c r="D90" s="1">
        <v>20</v>
      </c>
      <c r="E90" s="1">
        <v>370</v>
      </c>
      <c r="F90" s="1">
        <f t="shared" si="4"/>
        <v>370</v>
      </c>
      <c r="G90" s="53"/>
      <c r="H90" s="53"/>
      <c r="I90" s="53"/>
      <c r="J90" s="44">
        <v>370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s="7" customFormat="1" ht="12.75">
      <c r="A91" s="73">
        <v>11</v>
      </c>
      <c r="B91" s="15" t="s">
        <v>90</v>
      </c>
      <c r="C91" s="1" t="s">
        <v>13</v>
      </c>
      <c r="D91" s="1">
        <v>4</v>
      </c>
      <c r="E91" s="1">
        <v>245</v>
      </c>
      <c r="F91" s="1">
        <f t="shared" si="4"/>
        <v>245</v>
      </c>
      <c r="G91" s="53"/>
      <c r="H91" s="53"/>
      <c r="I91" s="51"/>
      <c r="J91" s="44">
        <v>245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s="98" customFormat="1" ht="25.5">
      <c r="A92" s="102">
        <v>12</v>
      </c>
      <c r="B92" s="103" t="s">
        <v>126</v>
      </c>
      <c r="C92" s="91" t="s">
        <v>13</v>
      </c>
      <c r="D92" s="91">
        <f>4+2+2+2</f>
        <v>10</v>
      </c>
      <c r="E92" s="91">
        <v>551.2</v>
      </c>
      <c r="F92" s="91">
        <f t="shared" si="4"/>
        <v>551.2</v>
      </c>
      <c r="G92" s="104"/>
      <c r="H92" s="105"/>
      <c r="I92" s="106"/>
      <c r="J92" s="96">
        <v>551.2</v>
      </c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</row>
    <row r="93" spans="1:130" s="7" customFormat="1" ht="12.75">
      <c r="A93" s="73">
        <v>13</v>
      </c>
      <c r="B93" s="15" t="s">
        <v>92</v>
      </c>
      <c r="C93" s="1" t="s">
        <v>13</v>
      </c>
      <c r="D93" s="1">
        <v>1</v>
      </c>
      <c r="E93" s="1">
        <v>42</v>
      </c>
      <c r="F93" s="1">
        <f t="shared" si="4"/>
        <v>42</v>
      </c>
      <c r="G93" s="53"/>
      <c r="H93" s="53"/>
      <c r="I93" s="51"/>
      <c r="J93" s="44">
        <v>42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s="7" customFormat="1" ht="12.75">
      <c r="A94" s="59">
        <v>8</v>
      </c>
      <c r="B94" s="54" t="s">
        <v>179</v>
      </c>
      <c r="C94" s="1" t="s">
        <v>13</v>
      </c>
      <c r="D94" s="1">
        <f>SUM(D95:D108)</f>
        <v>24</v>
      </c>
      <c r="E94" s="53">
        <f>SUM(E95:E108)</f>
        <v>11271.54</v>
      </c>
      <c r="F94" s="53">
        <f>E94</f>
        <v>11271.54</v>
      </c>
      <c r="G94" s="53"/>
      <c r="H94" s="53"/>
      <c r="I94" s="5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s="98" customFormat="1" ht="18" customHeight="1">
      <c r="A95" s="102">
        <v>1</v>
      </c>
      <c r="B95" s="103" t="s">
        <v>85</v>
      </c>
      <c r="C95" s="91" t="s">
        <v>13</v>
      </c>
      <c r="D95" s="91">
        <v>1</v>
      </c>
      <c r="E95" s="91">
        <v>1870.304</v>
      </c>
      <c r="F95" s="91">
        <f>E95</f>
        <v>1870.304</v>
      </c>
      <c r="G95" s="104"/>
      <c r="H95" s="105"/>
      <c r="I95" s="106"/>
      <c r="J95" s="96">
        <v>1870.304</v>
      </c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/>
      <c r="DZ95" s="97"/>
    </row>
    <row r="96" spans="1:130" s="98" customFormat="1" ht="12.75">
      <c r="A96" s="102">
        <v>2</v>
      </c>
      <c r="B96" s="103" t="s">
        <v>89</v>
      </c>
      <c r="C96" s="91" t="s">
        <v>13</v>
      </c>
      <c r="D96" s="91">
        <v>1</v>
      </c>
      <c r="E96" s="91">
        <v>1416.24</v>
      </c>
      <c r="F96" s="91">
        <f>E96</f>
        <v>1416.24</v>
      </c>
      <c r="G96" s="105"/>
      <c r="H96" s="105"/>
      <c r="I96" s="106"/>
      <c r="J96" s="96">
        <v>1416.24</v>
      </c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</row>
    <row r="97" spans="1:130" s="98" customFormat="1" ht="14.25" customHeight="1">
      <c r="A97" s="102">
        <v>3</v>
      </c>
      <c r="B97" s="103" t="s">
        <v>97</v>
      </c>
      <c r="C97" s="91" t="s">
        <v>13</v>
      </c>
      <c r="D97" s="91">
        <v>1</v>
      </c>
      <c r="E97" s="91">
        <f>171*5.66</f>
        <v>967.86</v>
      </c>
      <c r="F97" s="91">
        <f>E97</f>
        <v>967.86</v>
      </c>
      <c r="G97" s="105"/>
      <c r="H97" s="105"/>
      <c r="I97" s="106"/>
      <c r="J97" s="96">
        <v>967.86</v>
      </c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</row>
    <row r="98" spans="1:130" s="7" customFormat="1" ht="12.75">
      <c r="A98" s="73">
        <v>4</v>
      </c>
      <c r="B98" s="15" t="s">
        <v>86</v>
      </c>
      <c r="C98" s="1" t="s">
        <v>13</v>
      </c>
      <c r="D98" s="1">
        <v>1</v>
      </c>
      <c r="E98" s="1">
        <v>52.5</v>
      </c>
      <c r="F98" s="1">
        <f aca="true" t="shared" si="5" ref="F98:F108">E98</f>
        <v>52.5</v>
      </c>
      <c r="G98" s="74"/>
      <c r="H98" s="53"/>
      <c r="I98" s="51"/>
      <c r="J98" s="44">
        <v>52.5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s="7" customFormat="1" ht="12.75">
      <c r="A99" s="73">
        <v>5</v>
      </c>
      <c r="B99" s="15" t="s">
        <v>87</v>
      </c>
      <c r="C99" s="1" t="s">
        <v>13</v>
      </c>
      <c r="D99" s="1">
        <v>1</v>
      </c>
      <c r="E99" s="1">
        <v>169.9</v>
      </c>
      <c r="F99" s="1">
        <f t="shared" si="5"/>
        <v>169.9</v>
      </c>
      <c r="G99" s="74"/>
      <c r="H99" s="53"/>
      <c r="I99" s="51"/>
      <c r="J99" s="44">
        <v>169.9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s="98" customFormat="1" ht="12.75">
      <c r="A100" s="102">
        <v>6</v>
      </c>
      <c r="B100" s="103" t="s">
        <v>88</v>
      </c>
      <c r="C100" s="91" t="s">
        <v>13</v>
      </c>
      <c r="D100" s="91">
        <v>1</v>
      </c>
      <c r="E100" s="91">
        <v>380</v>
      </c>
      <c r="F100" s="91">
        <f t="shared" si="5"/>
        <v>380</v>
      </c>
      <c r="G100" s="104"/>
      <c r="H100" s="105"/>
      <c r="I100" s="106"/>
      <c r="J100" s="96">
        <v>380</v>
      </c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</row>
    <row r="101" spans="1:130" s="7" customFormat="1" ht="12.75">
      <c r="A101" s="73">
        <v>7</v>
      </c>
      <c r="B101" s="15" t="s">
        <v>91</v>
      </c>
      <c r="C101" s="1" t="s">
        <v>13</v>
      </c>
      <c r="D101" s="1">
        <v>1</v>
      </c>
      <c r="E101" s="1">
        <v>107.143</v>
      </c>
      <c r="F101" s="1">
        <f t="shared" si="5"/>
        <v>107.143</v>
      </c>
      <c r="G101" s="53"/>
      <c r="H101" s="53"/>
      <c r="I101" s="51"/>
      <c r="J101" s="44">
        <v>107.143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s="98" customFormat="1" ht="12.75">
      <c r="A102" s="102">
        <v>8</v>
      </c>
      <c r="B102" s="103" t="s">
        <v>136</v>
      </c>
      <c r="C102" s="91" t="s">
        <v>13</v>
      </c>
      <c r="D102" s="91">
        <v>2</v>
      </c>
      <c r="E102" s="91">
        <v>960</v>
      </c>
      <c r="F102" s="91">
        <f t="shared" si="5"/>
        <v>960</v>
      </c>
      <c r="G102" s="105"/>
      <c r="H102" s="105"/>
      <c r="I102" s="106"/>
      <c r="J102" s="96">
        <v>960</v>
      </c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</row>
    <row r="103" spans="1:130" s="98" customFormat="1" ht="18" customHeight="1">
      <c r="A103" s="102">
        <v>9</v>
      </c>
      <c r="B103" s="103" t="s">
        <v>93</v>
      </c>
      <c r="C103" s="91" t="s">
        <v>13</v>
      </c>
      <c r="D103" s="91">
        <v>1</v>
      </c>
      <c r="E103" s="91">
        <v>3200</v>
      </c>
      <c r="F103" s="91">
        <f t="shared" si="5"/>
        <v>3200</v>
      </c>
      <c r="G103" s="105"/>
      <c r="H103" s="105"/>
      <c r="I103" s="106"/>
      <c r="J103" s="96">
        <v>3200</v>
      </c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</row>
    <row r="104" spans="1:130" s="7" customFormat="1" ht="12.75">
      <c r="A104" s="73">
        <v>10</v>
      </c>
      <c r="B104" s="15" t="s">
        <v>94</v>
      </c>
      <c r="C104" s="1" t="s">
        <v>13</v>
      </c>
      <c r="D104" s="1">
        <v>1</v>
      </c>
      <c r="E104" s="1">
        <v>263.393</v>
      </c>
      <c r="F104" s="1">
        <f t="shared" si="5"/>
        <v>263.393</v>
      </c>
      <c r="G104" s="53"/>
      <c r="H104" s="53"/>
      <c r="I104" s="51"/>
      <c r="J104" s="44">
        <v>263.393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s="7" customFormat="1" ht="12.75">
      <c r="A105" s="73">
        <v>11</v>
      </c>
      <c r="B105" s="15" t="s">
        <v>152</v>
      </c>
      <c r="C105" s="1" t="s">
        <v>13</v>
      </c>
      <c r="D105" s="1">
        <v>1</v>
      </c>
      <c r="E105" s="1">
        <v>300</v>
      </c>
      <c r="F105" s="1">
        <f t="shared" si="5"/>
        <v>300</v>
      </c>
      <c r="G105" s="53"/>
      <c r="H105" s="53"/>
      <c r="I105" s="51"/>
      <c r="J105" s="44">
        <v>300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s="7" customFormat="1" ht="12.75">
      <c r="A106" s="73">
        <v>12</v>
      </c>
      <c r="B106" s="15" t="s">
        <v>133</v>
      </c>
      <c r="C106" s="1" t="s">
        <v>13</v>
      </c>
      <c r="D106" s="1">
        <v>8</v>
      </c>
      <c r="E106" s="1">
        <v>359.2</v>
      </c>
      <c r="F106" s="1">
        <f t="shared" si="5"/>
        <v>359.2</v>
      </c>
      <c r="G106" s="53"/>
      <c r="H106" s="53"/>
      <c r="I106" s="51"/>
      <c r="J106" s="44">
        <v>359.2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s="98" customFormat="1" ht="12.75">
      <c r="A107" s="102">
        <v>13</v>
      </c>
      <c r="B107" s="103" t="s">
        <v>98</v>
      </c>
      <c r="C107" s="91" t="s">
        <v>13</v>
      </c>
      <c r="D107" s="91">
        <v>1</v>
      </c>
      <c r="E107" s="91">
        <v>250</v>
      </c>
      <c r="F107" s="91">
        <f t="shared" si="5"/>
        <v>250</v>
      </c>
      <c r="G107" s="105"/>
      <c r="H107" s="105"/>
      <c r="I107" s="106"/>
      <c r="J107" s="96">
        <v>250</v>
      </c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</row>
    <row r="108" spans="1:130" s="7" customFormat="1" ht="12.75">
      <c r="A108" s="73">
        <v>14</v>
      </c>
      <c r="B108" s="15" t="s">
        <v>168</v>
      </c>
      <c r="C108" s="1" t="s">
        <v>13</v>
      </c>
      <c r="D108" s="1">
        <v>3</v>
      </c>
      <c r="E108" s="1">
        <v>975</v>
      </c>
      <c r="F108" s="1">
        <f t="shared" si="5"/>
        <v>975</v>
      </c>
      <c r="G108" s="53"/>
      <c r="H108" s="53"/>
      <c r="I108" s="51"/>
      <c r="J108" s="44">
        <v>975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s="7" customFormat="1" ht="12.75">
      <c r="A109" s="59">
        <v>9</v>
      </c>
      <c r="B109" s="54" t="s">
        <v>180</v>
      </c>
      <c r="C109" s="1" t="s">
        <v>13</v>
      </c>
      <c r="D109" s="1">
        <f>SUM(D110:D118)</f>
        <v>98</v>
      </c>
      <c r="E109" s="53">
        <f>SUM(E110:E118)</f>
        <v>7878.599999999999</v>
      </c>
      <c r="F109" s="53">
        <f>E109</f>
        <v>7878.599999999999</v>
      </c>
      <c r="G109" s="53"/>
      <c r="H109" s="53"/>
      <c r="I109" s="5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s="7" customFormat="1" ht="12.75">
      <c r="A110" s="73">
        <v>1</v>
      </c>
      <c r="B110" s="15" t="s">
        <v>99</v>
      </c>
      <c r="C110" s="1" t="s">
        <v>13</v>
      </c>
      <c r="D110" s="1">
        <v>2</v>
      </c>
      <c r="E110" s="1">
        <f>550*2</f>
        <v>1100</v>
      </c>
      <c r="F110" s="1">
        <f>E110</f>
        <v>1100</v>
      </c>
      <c r="G110" s="53"/>
      <c r="H110" s="53"/>
      <c r="I110" s="51"/>
      <c r="J110" s="44">
        <v>550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s="7" customFormat="1" ht="47.25" customHeight="1">
      <c r="A111" s="73">
        <v>2</v>
      </c>
      <c r="B111" s="15" t="s">
        <v>146</v>
      </c>
      <c r="C111" s="1" t="s">
        <v>13</v>
      </c>
      <c r="D111" s="1">
        <f>2+3+1+5+5+5+1</f>
        <v>22</v>
      </c>
      <c r="E111" s="1">
        <f>2181.05-47.5-41.55</f>
        <v>2092</v>
      </c>
      <c r="F111" s="1">
        <f>E111</f>
        <v>2092</v>
      </c>
      <c r="G111" s="53"/>
      <c r="H111" s="53"/>
      <c r="I111" s="51"/>
      <c r="J111" s="44">
        <v>2092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s="7" customFormat="1" ht="13.5" customHeight="1">
      <c r="A112" s="73">
        <v>3</v>
      </c>
      <c r="B112" s="15" t="s">
        <v>123</v>
      </c>
      <c r="C112" s="1" t="s">
        <v>13</v>
      </c>
      <c r="D112" s="1">
        <v>10</v>
      </c>
      <c r="E112" s="1">
        <v>231.9</v>
      </c>
      <c r="F112" s="1">
        <v>232</v>
      </c>
      <c r="G112" s="53"/>
      <c r="H112" s="53"/>
      <c r="I112" s="51"/>
      <c r="J112" s="44">
        <v>232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s="7" customFormat="1" ht="12.75">
      <c r="A113" s="73">
        <v>4</v>
      </c>
      <c r="B113" s="15" t="s">
        <v>100</v>
      </c>
      <c r="C113" s="1" t="s">
        <v>13</v>
      </c>
      <c r="D113" s="1">
        <v>1</v>
      </c>
      <c r="E113" s="1">
        <v>198</v>
      </c>
      <c r="F113" s="1">
        <f aca="true" t="shared" si="6" ref="F113:F118">E113</f>
        <v>198</v>
      </c>
      <c r="G113" s="53"/>
      <c r="H113" s="53"/>
      <c r="I113" s="51"/>
      <c r="J113" s="44">
        <v>198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s="7" customFormat="1" ht="12.75">
      <c r="A114" s="73">
        <v>5</v>
      </c>
      <c r="B114" s="15" t="s">
        <v>122</v>
      </c>
      <c r="C114" s="1" t="s">
        <v>13</v>
      </c>
      <c r="D114" s="1">
        <v>10</v>
      </c>
      <c r="E114" s="1">
        <v>249</v>
      </c>
      <c r="F114" s="1">
        <f t="shared" si="6"/>
        <v>249</v>
      </c>
      <c r="G114" s="53"/>
      <c r="H114" s="53"/>
      <c r="I114" s="51"/>
      <c r="J114" s="44">
        <v>249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s="7" customFormat="1" ht="12.75">
      <c r="A115" s="73">
        <v>6</v>
      </c>
      <c r="B115" s="15" t="s">
        <v>121</v>
      </c>
      <c r="C115" s="1" t="s">
        <v>13</v>
      </c>
      <c r="D115" s="1">
        <v>30</v>
      </c>
      <c r="E115" s="1">
        <v>1950</v>
      </c>
      <c r="F115" s="1">
        <f t="shared" si="6"/>
        <v>1950</v>
      </c>
      <c r="G115" s="53"/>
      <c r="H115" s="53"/>
      <c r="I115" s="51"/>
      <c r="J115" s="44">
        <v>1950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s="7" customFormat="1" ht="12.75">
      <c r="A116" s="73">
        <v>7</v>
      </c>
      <c r="B116" s="15" t="s">
        <v>120</v>
      </c>
      <c r="C116" s="1" t="s">
        <v>13</v>
      </c>
      <c r="D116" s="1">
        <v>10</v>
      </c>
      <c r="E116" s="1">
        <v>234</v>
      </c>
      <c r="F116" s="1">
        <f t="shared" si="6"/>
        <v>234</v>
      </c>
      <c r="G116" s="53"/>
      <c r="H116" s="53"/>
      <c r="I116" s="51"/>
      <c r="J116" s="44">
        <v>234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s="7" customFormat="1" ht="12.75">
      <c r="A117" s="73">
        <v>8</v>
      </c>
      <c r="B117" s="15" t="s">
        <v>119</v>
      </c>
      <c r="C117" s="1" t="s">
        <v>13</v>
      </c>
      <c r="D117" s="1">
        <v>10</v>
      </c>
      <c r="E117" s="1">
        <v>252</v>
      </c>
      <c r="F117" s="1">
        <f t="shared" si="6"/>
        <v>252</v>
      </c>
      <c r="G117" s="53"/>
      <c r="H117" s="53"/>
      <c r="I117" s="51"/>
      <c r="J117" s="44">
        <v>252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s="7" customFormat="1" ht="12.75">
      <c r="A118" s="73">
        <v>9</v>
      </c>
      <c r="B118" s="15" t="s">
        <v>147</v>
      </c>
      <c r="C118" s="1" t="s">
        <v>13</v>
      </c>
      <c r="D118" s="1">
        <v>3</v>
      </c>
      <c r="E118" s="1">
        <v>1571.7</v>
      </c>
      <c r="F118" s="1">
        <f t="shared" si="6"/>
        <v>1571.7</v>
      </c>
      <c r="G118" s="53"/>
      <c r="H118" s="53"/>
      <c r="I118" s="51"/>
      <c r="J118" s="44">
        <v>1571.7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s="28" customFormat="1" ht="12.75">
      <c r="A119" s="59">
        <v>10</v>
      </c>
      <c r="B119" s="54" t="s">
        <v>182</v>
      </c>
      <c r="C119" s="1" t="s">
        <v>13</v>
      </c>
      <c r="D119" s="1">
        <v>3</v>
      </c>
      <c r="E119" s="53">
        <f>E120</f>
        <v>1349.25</v>
      </c>
      <c r="F119" s="53">
        <f>F120</f>
        <v>1349.25</v>
      </c>
      <c r="G119" s="53"/>
      <c r="H119" s="53"/>
      <c r="I119" s="51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</row>
    <row r="120" spans="1:130" s="7" customFormat="1" ht="12.75">
      <c r="A120" s="73">
        <v>1</v>
      </c>
      <c r="B120" s="15" t="s">
        <v>144</v>
      </c>
      <c r="C120" s="1" t="s">
        <v>13</v>
      </c>
      <c r="D120" s="1">
        <v>3</v>
      </c>
      <c r="E120" s="1">
        <v>1349.25</v>
      </c>
      <c r="F120" s="1">
        <f>E120</f>
        <v>1349.25</v>
      </c>
      <c r="G120" s="53"/>
      <c r="H120" s="53"/>
      <c r="I120" s="51"/>
      <c r="J120" s="2">
        <v>1349.25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s="7" customFormat="1" ht="12.75">
      <c r="A121" s="59">
        <v>11</v>
      </c>
      <c r="B121" s="54" t="s">
        <v>181</v>
      </c>
      <c r="C121" s="1" t="s">
        <v>13</v>
      </c>
      <c r="D121" s="1">
        <f>SUM(D122:D131)</f>
        <v>10</v>
      </c>
      <c r="E121" s="53">
        <f>SUM(E122:E131)</f>
        <v>12366.518</v>
      </c>
      <c r="F121" s="53">
        <f>E121</f>
        <v>12366.518</v>
      </c>
      <c r="G121" s="53"/>
      <c r="H121" s="53"/>
      <c r="I121" s="5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s="7" customFormat="1" ht="12.75">
      <c r="A122" s="73">
        <v>1</v>
      </c>
      <c r="B122" s="15" t="s">
        <v>101</v>
      </c>
      <c r="C122" s="1" t="s">
        <v>13</v>
      </c>
      <c r="D122" s="1">
        <v>1</v>
      </c>
      <c r="E122" s="1">
        <v>200.893</v>
      </c>
      <c r="F122" s="1">
        <v>200.893</v>
      </c>
      <c r="G122" s="1"/>
      <c r="H122" s="1"/>
      <c r="I122" s="5"/>
      <c r="J122" s="2">
        <v>200.893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s="7" customFormat="1" ht="12.75">
      <c r="A123" s="73">
        <v>2</v>
      </c>
      <c r="B123" s="15" t="s">
        <v>101</v>
      </c>
      <c r="C123" s="1" t="s">
        <v>13</v>
      </c>
      <c r="D123" s="1">
        <v>1</v>
      </c>
      <c r="E123" s="1">
        <v>140.625</v>
      </c>
      <c r="F123" s="1">
        <v>140.625</v>
      </c>
      <c r="G123" s="1"/>
      <c r="H123" s="1"/>
      <c r="I123" s="5"/>
      <c r="J123" s="2">
        <v>140.625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s="98" customFormat="1" ht="12.75">
      <c r="A124" s="102">
        <v>3</v>
      </c>
      <c r="B124" s="103" t="s">
        <v>102</v>
      </c>
      <c r="C124" s="91" t="s">
        <v>13</v>
      </c>
      <c r="D124" s="91">
        <v>1</v>
      </c>
      <c r="E124" s="91">
        <v>585</v>
      </c>
      <c r="F124" s="91">
        <v>585</v>
      </c>
      <c r="G124" s="91"/>
      <c r="H124" s="91"/>
      <c r="I124" s="90"/>
      <c r="J124" s="97">
        <v>585</v>
      </c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</row>
    <row r="125" spans="1:130" s="98" customFormat="1" ht="12.75">
      <c r="A125" s="102">
        <v>4</v>
      </c>
      <c r="B125" s="103" t="s">
        <v>103</v>
      </c>
      <c r="C125" s="91" t="s">
        <v>111</v>
      </c>
      <c r="D125" s="91">
        <v>1</v>
      </c>
      <c r="E125" s="91">
        <v>420</v>
      </c>
      <c r="F125" s="91">
        <v>420</v>
      </c>
      <c r="G125" s="91"/>
      <c r="H125" s="91"/>
      <c r="I125" s="90"/>
      <c r="J125" s="97">
        <v>420</v>
      </c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/>
      <c r="DY125" s="97"/>
      <c r="DZ125" s="97"/>
    </row>
    <row r="126" spans="1:130" s="98" customFormat="1" ht="12.75">
      <c r="A126" s="102">
        <v>5</v>
      </c>
      <c r="B126" s="103" t="s">
        <v>104</v>
      </c>
      <c r="C126" s="91" t="s">
        <v>111</v>
      </c>
      <c r="D126" s="91">
        <v>1</v>
      </c>
      <c r="E126" s="91">
        <v>320</v>
      </c>
      <c r="F126" s="91">
        <v>320</v>
      </c>
      <c r="G126" s="91"/>
      <c r="H126" s="91"/>
      <c r="I126" s="90"/>
      <c r="J126" s="97">
        <v>320</v>
      </c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</row>
    <row r="127" spans="1:130" s="98" customFormat="1" ht="12.75">
      <c r="A127" s="102">
        <v>6</v>
      </c>
      <c r="B127" s="103" t="s">
        <v>105</v>
      </c>
      <c r="C127" s="91" t="s">
        <v>111</v>
      </c>
      <c r="D127" s="91">
        <v>1</v>
      </c>
      <c r="E127" s="91">
        <v>650</v>
      </c>
      <c r="F127" s="91">
        <v>650</v>
      </c>
      <c r="G127" s="91"/>
      <c r="H127" s="91"/>
      <c r="I127" s="90"/>
      <c r="J127" s="97">
        <v>650</v>
      </c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</row>
    <row r="128" spans="1:130" s="7" customFormat="1" ht="12.75">
      <c r="A128" s="73">
        <v>7</v>
      </c>
      <c r="B128" s="15" t="s">
        <v>106</v>
      </c>
      <c r="C128" s="1" t="s">
        <v>111</v>
      </c>
      <c r="D128" s="1">
        <v>1</v>
      </c>
      <c r="E128" s="1">
        <v>216</v>
      </c>
      <c r="F128" s="1">
        <v>216</v>
      </c>
      <c r="G128" s="1"/>
      <c r="H128" s="1"/>
      <c r="I128" s="5"/>
      <c r="J128" s="2">
        <v>216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s="7" customFormat="1" ht="12.75">
      <c r="A129" s="73">
        <v>8</v>
      </c>
      <c r="B129" s="15" t="s">
        <v>107</v>
      </c>
      <c r="C129" s="1" t="s">
        <v>13</v>
      </c>
      <c r="D129" s="1">
        <v>1</v>
      </c>
      <c r="E129" s="1">
        <v>458</v>
      </c>
      <c r="F129" s="1">
        <v>458</v>
      </c>
      <c r="G129" s="1"/>
      <c r="H129" s="1"/>
      <c r="I129" s="5"/>
      <c r="J129" s="2">
        <v>458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s="7" customFormat="1" ht="12.75">
      <c r="A130" s="73">
        <v>9</v>
      </c>
      <c r="B130" s="15" t="s">
        <v>108</v>
      </c>
      <c r="C130" s="1" t="s">
        <v>109</v>
      </c>
      <c r="D130" s="1">
        <v>1</v>
      </c>
      <c r="E130" s="1">
        <v>4800</v>
      </c>
      <c r="F130" s="1">
        <v>4800</v>
      </c>
      <c r="G130" s="1"/>
      <c r="H130" s="1"/>
      <c r="I130" s="5"/>
      <c r="J130" s="2">
        <v>4800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s="7" customFormat="1" ht="12.75">
      <c r="A131" s="73">
        <v>10</v>
      </c>
      <c r="B131" s="15" t="s">
        <v>149</v>
      </c>
      <c r="C131" s="1" t="s">
        <v>111</v>
      </c>
      <c r="D131" s="1">
        <v>1</v>
      </c>
      <c r="E131" s="1">
        <v>4576</v>
      </c>
      <c r="F131" s="1">
        <f>E131</f>
        <v>4576</v>
      </c>
      <c r="G131" s="1"/>
      <c r="H131" s="1"/>
      <c r="I131" s="5"/>
      <c r="J131" s="2">
        <v>4576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s="7" customFormat="1" ht="12.75">
      <c r="A132" s="59">
        <v>12</v>
      </c>
      <c r="B132" s="54" t="s">
        <v>116</v>
      </c>
      <c r="C132" s="1" t="s">
        <v>13</v>
      </c>
      <c r="D132" s="1">
        <v>1</v>
      </c>
      <c r="E132" s="53">
        <f>E133</f>
        <v>1127.48</v>
      </c>
      <c r="F132" s="53">
        <f>F133</f>
        <v>1127.48</v>
      </c>
      <c r="G132" s="1"/>
      <c r="H132" s="1"/>
      <c r="I132" s="5"/>
      <c r="J132" s="2">
        <v>1127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s="98" customFormat="1" ht="12.75">
      <c r="A133" s="107">
        <v>1</v>
      </c>
      <c r="B133" s="103" t="s">
        <v>117</v>
      </c>
      <c r="C133" s="91"/>
      <c r="D133" s="91">
        <v>1</v>
      </c>
      <c r="E133" s="91">
        <f>1127.48</f>
        <v>1127.48</v>
      </c>
      <c r="F133" s="91">
        <f>1127.48</f>
        <v>1127.48</v>
      </c>
      <c r="G133" s="91"/>
      <c r="H133" s="91"/>
      <c r="I133" s="90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</row>
    <row r="134" spans="1:130" s="7" customFormat="1" ht="16.5" customHeight="1">
      <c r="A134" s="51"/>
      <c r="B134" s="51" t="s">
        <v>34</v>
      </c>
      <c r="C134" s="53"/>
      <c r="D134" s="53"/>
      <c r="E134" s="53">
        <f>E51+E62+E63+E67+E73+E75+E80+E94+E109+E119+E121+E132</f>
        <v>239355.78557142857</v>
      </c>
      <c r="F134" s="53">
        <f>E134</f>
        <v>239355.78557142857</v>
      </c>
      <c r="G134" s="53"/>
      <c r="H134" s="53"/>
      <c r="I134" s="51"/>
      <c r="J134" s="2">
        <f>SUM(J14:J132)</f>
        <v>239373.07657142857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s="7" customFormat="1" ht="12.75">
      <c r="A135" s="51"/>
      <c r="B135" s="51" t="s">
        <v>18</v>
      </c>
      <c r="C135" s="53"/>
      <c r="D135" s="53"/>
      <c r="E135" s="53">
        <f>3986</f>
        <v>3986</v>
      </c>
      <c r="F135" s="53">
        <f>E135</f>
        <v>3986</v>
      </c>
      <c r="G135" s="53"/>
      <c r="H135" s="53"/>
      <c r="I135" s="5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s="7" customFormat="1" ht="12.75">
      <c r="A136" s="51"/>
      <c r="B136" s="51" t="s">
        <v>19</v>
      </c>
      <c r="C136" s="53"/>
      <c r="D136" s="53"/>
      <c r="E136" s="38">
        <v>235370</v>
      </c>
      <c r="F136" s="38">
        <f>E136</f>
        <v>235370</v>
      </c>
      <c r="G136" s="53"/>
      <c r="H136" s="53"/>
      <c r="I136" s="5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s="7" customFormat="1" ht="12.75">
      <c r="A137" s="51"/>
      <c r="B137" s="51" t="s">
        <v>9</v>
      </c>
      <c r="C137" s="53"/>
      <c r="D137" s="53"/>
      <c r="E137" s="53">
        <f>128964+E135</f>
        <v>132950</v>
      </c>
      <c r="F137" s="53">
        <f>E137</f>
        <v>132950</v>
      </c>
      <c r="G137" s="53"/>
      <c r="H137" s="53"/>
      <c r="I137" s="5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s="7" customFormat="1" ht="12.75">
      <c r="A138" s="51"/>
      <c r="B138" s="51" t="s">
        <v>10</v>
      </c>
      <c r="C138" s="53"/>
      <c r="D138" s="53"/>
      <c r="E138" s="53">
        <v>106406</v>
      </c>
      <c r="F138" s="53">
        <f>E138</f>
        <v>106406</v>
      </c>
      <c r="G138" s="53"/>
      <c r="H138" s="53"/>
      <c r="I138" s="5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s="7" customFormat="1" ht="23.25" customHeight="1">
      <c r="A139" s="143" t="s">
        <v>32</v>
      </c>
      <c r="B139" s="143"/>
      <c r="C139" s="143"/>
      <c r="D139" s="143"/>
      <c r="E139" s="143"/>
      <c r="F139" s="143"/>
      <c r="G139" s="143"/>
      <c r="H139" s="143"/>
      <c r="I139" s="14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s="7" customFormat="1" ht="15" customHeight="1">
      <c r="A140" s="142" t="s">
        <v>33</v>
      </c>
      <c r="B140" s="142"/>
      <c r="C140" s="1"/>
      <c r="D140" s="1"/>
      <c r="E140" s="53">
        <f>E141+E142</f>
        <v>2396825.321</v>
      </c>
      <c r="F140" s="53">
        <f>F141+F142</f>
        <v>139584.321</v>
      </c>
      <c r="G140" s="53">
        <f>G152</f>
        <v>1250511.5</v>
      </c>
      <c r="H140" s="53">
        <f>H152</f>
        <v>1006729</v>
      </c>
      <c r="I140" s="5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s="7" customFormat="1" ht="15" customHeight="1">
      <c r="A141" s="53"/>
      <c r="B141" s="51" t="s">
        <v>9</v>
      </c>
      <c r="C141" s="1"/>
      <c r="D141" s="1"/>
      <c r="E141" s="53">
        <f>E144+E150+E151</f>
        <v>2356337.321</v>
      </c>
      <c r="F141" s="53">
        <f>E145</f>
        <v>99096.321</v>
      </c>
      <c r="G141" s="53">
        <f>G140</f>
        <v>1250511.5</v>
      </c>
      <c r="H141" s="53">
        <f>H140</f>
        <v>1006729</v>
      </c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s="7" customFormat="1" ht="15" customHeight="1">
      <c r="A142" s="53"/>
      <c r="B142" s="51" t="s">
        <v>10</v>
      </c>
      <c r="C142" s="1"/>
      <c r="D142" s="1"/>
      <c r="E142" s="53">
        <f>E147</f>
        <v>40488</v>
      </c>
      <c r="F142" s="53">
        <f>E142</f>
        <v>40488</v>
      </c>
      <c r="G142" s="53">
        <v>0</v>
      </c>
      <c r="H142" s="53">
        <v>0</v>
      </c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s="7" customFormat="1" ht="21" customHeight="1">
      <c r="A143" s="142" t="s">
        <v>11</v>
      </c>
      <c r="B143" s="142"/>
      <c r="C143" s="142"/>
      <c r="D143" s="142"/>
      <c r="E143" s="142"/>
      <c r="F143" s="142"/>
      <c r="G143" s="142"/>
      <c r="H143" s="142"/>
      <c r="I143" s="14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s="7" customFormat="1" ht="38.25">
      <c r="A144" s="1">
        <v>1</v>
      </c>
      <c r="B144" s="14" t="s">
        <v>58</v>
      </c>
      <c r="C144" s="5" t="s">
        <v>12</v>
      </c>
      <c r="D144" s="1">
        <v>385</v>
      </c>
      <c r="E144" s="1">
        <v>99096.321</v>
      </c>
      <c r="F144" s="4">
        <f>E144</f>
        <v>99096.321</v>
      </c>
      <c r="G144" s="6"/>
      <c r="H144" s="6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s="7" customFormat="1" ht="21.75" customHeight="1">
      <c r="A145" s="142" t="s">
        <v>14</v>
      </c>
      <c r="B145" s="142"/>
      <c r="C145" s="1"/>
      <c r="D145" s="53"/>
      <c r="E145" s="53">
        <f>SUM(E144:E144)</f>
        <v>99096.321</v>
      </c>
      <c r="F145" s="53">
        <f>E145</f>
        <v>99096.321</v>
      </c>
      <c r="G145" s="53"/>
      <c r="H145" s="6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s="7" customFormat="1" ht="19.5" customHeight="1">
      <c r="A146" s="142" t="s">
        <v>15</v>
      </c>
      <c r="B146" s="142"/>
      <c r="C146" s="142"/>
      <c r="D146" s="142"/>
      <c r="E146" s="142"/>
      <c r="F146" s="142"/>
      <c r="G146" s="142"/>
      <c r="H146" s="142"/>
      <c r="I146" s="14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s="7" customFormat="1" ht="25.5">
      <c r="A147" s="1">
        <v>2</v>
      </c>
      <c r="B147" s="14" t="s">
        <v>59</v>
      </c>
      <c r="C147" s="5" t="s">
        <v>12</v>
      </c>
      <c r="D147" s="1">
        <v>443</v>
      </c>
      <c r="E147" s="1">
        <v>40488</v>
      </c>
      <c r="F147" s="4">
        <f>E147</f>
        <v>40488</v>
      </c>
      <c r="G147" s="6"/>
      <c r="H147" s="6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s="7" customFormat="1" ht="19.5" customHeight="1">
      <c r="A148" s="142" t="s">
        <v>16</v>
      </c>
      <c r="B148" s="142"/>
      <c r="C148" s="53"/>
      <c r="D148" s="53"/>
      <c r="E148" s="53">
        <f>SUM(E147:E147)</f>
        <v>40488</v>
      </c>
      <c r="F148" s="53">
        <f>E148</f>
        <v>40488</v>
      </c>
      <c r="G148" s="53"/>
      <c r="H148" s="6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s="7" customFormat="1" ht="25.5" customHeight="1">
      <c r="A149" s="142" t="s">
        <v>174</v>
      </c>
      <c r="B149" s="142"/>
      <c r="C149" s="142"/>
      <c r="D149" s="142"/>
      <c r="E149" s="142"/>
      <c r="F149" s="142"/>
      <c r="G149" s="142"/>
      <c r="H149" s="142"/>
      <c r="I149" s="14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s="7" customFormat="1" ht="15" customHeight="1">
      <c r="A150" s="17">
        <v>1</v>
      </c>
      <c r="B150" s="15" t="s">
        <v>175</v>
      </c>
      <c r="C150" s="24" t="s">
        <v>177</v>
      </c>
      <c r="D150" s="1">
        <v>1</v>
      </c>
      <c r="E150" s="1">
        <f>1071429-24887</f>
        <v>1046542</v>
      </c>
      <c r="F150" s="1">
        <v>0</v>
      </c>
      <c r="G150" s="1">
        <f>593572-13787-0.5</f>
        <v>579784.5</v>
      </c>
      <c r="H150" s="1">
        <f>477857-11100</f>
        <v>466757</v>
      </c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s="7" customFormat="1" ht="15" customHeight="1">
      <c r="A151" s="17">
        <v>2</v>
      </c>
      <c r="B151" s="47" t="s">
        <v>176</v>
      </c>
      <c r="C151" s="24" t="s">
        <v>177</v>
      </c>
      <c r="D151" s="1">
        <v>1</v>
      </c>
      <c r="E151" s="1">
        <v>1210699</v>
      </c>
      <c r="F151" s="1">
        <v>0</v>
      </c>
      <c r="G151" s="1">
        <f>702879-32152</f>
        <v>670727</v>
      </c>
      <c r="H151" s="1">
        <f>565855-25883</f>
        <v>539972</v>
      </c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s="7" customFormat="1" ht="33.75" customHeight="1">
      <c r="A152" s="142" t="s">
        <v>178</v>
      </c>
      <c r="B152" s="142"/>
      <c r="C152" s="72"/>
      <c r="D152" s="72"/>
      <c r="E152" s="53">
        <f>E151+E150</f>
        <v>2257241</v>
      </c>
      <c r="F152" s="53">
        <f>F151+F150</f>
        <v>0</v>
      </c>
      <c r="G152" s="53">
        <f>G151+G150</f>
        <v>1250511.5</v>
      </c>
      <c r="H152" s="53">
        <f>H151+H150</f>
        <v>1006729</v>
      </c>
      <c r="I152" s="7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s="7" customFormat="1" ht="15" customHeight="1">
      <c r="A153" s="51"/>
      <c r="B153" s="51" t="s">
        <v>36</v>
      </c>
      <c r="C153" s="53"/>
      <c r="D153" s="53"/>
      <c r="E153" s="53">
        <f>E140</f>
        <v>2396825.321</v>
      </c>
      <c r="F153" s="53">
        <f>F140</f>
        <v>139584.321</v>
      </c>
      <c r="G153" s="53"/>
      <c r="H153" s="53"/>
      <c r="I153" s="5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s="7" customFormat="1" ht="15" customHeight="1">
      <c r="A154" s="51"/>
      <c r="B154" s="51" t="s">
        <v>18</v>
      </c>
      <c r="C154" s="53"/>
      <c r="D154" s="53"/>
      <c r="E154" s="53"/>
      <c r="F154" s="36"/>
      <c r="G154" s="53"/>
      <c r="H154" s="53"/>
      <c r="I154" s="5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s="7" customFormat="1" ht="15" customHeight="1">
      <c r="A155" s="51"/>
      <c r="B155" s="51" t="s">
        <v>19</v>
      </c>
      <c r="C155" s="53"/>
      <c r="D155" s="53"/>
      <c r="E155" s="38">
        <f>E144+E147</f>
        <v>139584.321</v>
      </c>
      <c r="F155" s="38">
        <v>139584</v>
      </c>
      <c r="G155" s="53"/>
      <c r="H155" s="53"/>
      <c r="I155" s="5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s="7" customFormat="1" ht="15" customHeight="1">
      <c r="A156" s="51"/>
      <c r="B156" s="51" t="s">
        <v>20</v>
      </c>
      <c r="C156" s="53"/>
      <c r="D156" s="53"/>
      <c r="E156" s="38">
        <f>G150+G151</f>
        <v>1250511.5</v>
      </c>
      <c r="F156" s="38"/>
      <c r="G156" s="1">
        <f>G152</f>
        <v>1250511.5</v>
      </c>
      <c r="H156" s="1"/>
      <c r="I156" s="5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s="7" customFormat="1" ht="15" customHeight="1">
      <c r="A157" s="51"/>
      <c r="B157" s="51" t="s">
        <v>8</v>
      </c>
      <c r="C157" s="53"/>
      <c r="D157" s="53"/>
      <c r="E157" s="38">
        <f>H150+H151</f>
        <v>1006729</v>
      </c>
      <c r="F157" s="38"/>
      <c r="G157" s="1"/>
      <c r="H157" s="1">
        <f>H152</f>
        <v>1006729</v>
      </c>
      <c r="I157" s="5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s="7" customFormat="1" ht="15" customHeight="1">
      <c r="A158" s="51"/>
      <c r="B158" s="51" t="s">
        <v>9</v>
      </c>
      <c r="C158" s="53"/>
      <c r="D158" s="53"/>
      <c r="E158" s="55">
        <f>F158+G158+H158</f>
        <v>2356336.821</v>
      </c>
      <c r="F158" s="55">
        <f>F141</f>
        <v>99096.321</v>
      </c>
      <c r="G158" s="1">
        <f>G156</f>
        <v>1250511.5</v>
      </c>
      <c r="H158" s="1">
        <f>H157</f>
        <v>1006729</v>
      </c>
      <c r="I158" s="5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s="7" customFormat="1" ht="15" customHeight="1">
      <c r="A159" s="51"/>
      <c r="B159" s="51" t="s">
        <v>10</v>
      </c>
      <c r="C159" s="53"/>
      <c r="D159" s="53"/>
      <c r="E159" s="55">
        <f>F159+G159+H159</f>
        <v>40488</v>
      </c>
      <c r="F159" s="55">
        <f>F142</f>
        <v>40488</v>
      </c>
      <c r="G159" s="1"/>
      <c r="H159" s="1"/>
      <c r="I159" s="5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s="7" customFormat="1" ht="12.75">
      <c r="A160" s="143" t="s">
        <v>37</v>
      </c>
      <c r="B160" s="143"/>
      <c r="C160" s="143"/>
      <c r="D160" s="143"/>
      <c r="E160" s="143"/>
      <c r="F160" s="143"/>
      <c r="G160" s="143"/>
      <c r="H160" s="143"/>
      <c r="I160" s="14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s="7" customFormat="1" ht="12.75">
      <c r="A161" s="142" t="s">
        <v>38</v>
      </c>
      <c r="B161" s="142"/>
      <c r="C161" s="1"/>
      <c r="D161" s="1"/>
      <c r="E161" s="53">
        <f>E162+E163</f>
        <v>163058</v>
      </c>
      <c r="F161" s="53">
        <f>F162+F163</f>
        <v>163058</v>
      </c>
      <c r="G161" s="53"/>
      <c r="H161" s="53"/>
      <c r="I161" s="5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s="7" customFormat="1" ht="12.75">
      <c r="A162" s="53"/>
      <c r="B162" s="51" t="s">
        <v>9</v>
      </c>
      <c r="C162" s="1"/>
      <c r="D162" s="1"/>
      <c r="E162" s="53">
        <f>E166</f>
        <v>100108</v>
      </c>
      <c r="F162" s="53">
        <f>E162</f>
        <v>100108</v>
      </c>
      <c r="G162" s="53"/>
      <c r="H162" s="5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s="7" customFormat="1" ht="12.75">
      <c r="A163" s="53"/>
      <c r="B163" s="51" t="s">
        <v>10</v>
      </c>
      <c r="C163" s="1"/>
      <c r="D163" s="1"/>
      <c r="E163" s="53">
        <f>E168+E171</f>
        <v>62950</v>
      </c>
      <c r="F163" s="53">
        <f>E163</f>
        <v>62950</v>
      </c>
      <c r="G163" s="53"/>
      <c r="H163" s="5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s="7" customFormat="1" ht="12.75">
      <c r="A164" s="142" t="s">
        <v>11</v>
      </c>
      <c r="B164" s="142"/>
      <c r="C164" s="142"/>
      <c r="D164" s="142"/>
      <c r="E164" s="142"/>
      <c r="F164" s="142"/>
      <c r="G164" s="142"/>
      <c r="H164" s="142"/>
      <c r="I164" s="14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s="7" customFormat="1" ht="48" customHeight="1">
      <c r="A165" s="1">
        <v>1</v>
      </c>
      <c r="B165" s="14" t="s">
        <v>54</v>
      </c>
      <c r="C165" s="5" t="s">
        <v>12</v>
      </c>
      <c r="D165" s="1">
        <v>238</v>
      </c>
      <c r="E165" s="1">
        <v>100108</v>
      </c>
      <c r="F165" s="4"/>
      <c r="G165" s="6"/>
      <c r="H165" s="6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s="7" customFormat="1" ht="12.75">
      <c r="A166" s="142" t="s">
        <v>14</v>
      </c>
      <c r="B166" s="142"/>
      <c r="C166" s="1"/>
      <c r="D166" s="53"/>
      <c r="E166" s="53">
        <f>SUM(E165:E165)</f>
        <v>100108</v>
      </c>
      <c r="F166" s="53">
        <f>E166</f>
        <v>100108</v>
      </c>
      <c r="G166" s="53"/>
      <c r="H166" s="6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s="7" customFormat="1" ht="12.75">
      <c r="A167" s="142" t="s">
        <v>15</v>
      </c>
      <c r="B167" s="142"/>
      <c r="C167" s="142"/>
      <c r="D167" s="142"/>
      <c r="E167" s="142"/>
      <c r="F167" s="142"/>
      <c r="G167" s="142"/>
      <c r="H167" s="142"/>
      <c r="I167" s="14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s="7" customFormat="1" ht="38.25">
      <c r="A168" s="1">
        <v>3</v>
      </c>
      <c r="B168" s="14" t="s">
        <v>49</v>
      </c>
      <c r="C168" s="5" t="s">
        <v>12</v>
      </c>
      <c r="D168" s="1">
        <v>750</v>
      </c>
      <c r="E168" s="1">
        <v>33821</v>
      </c>
      <c r="F168" s="4"/>
      <c r="G168" s="6"/>
      <c r="H168" s="6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s="7" customFormat="1" ht="12.75">
      <c r="A169" s="142" t="s">
        <v>16</v>
      </c>
      <c r="B169" s="142"/>
      <c r="C169" s="53"/>
      <c r="D169" s="53"/>
      <c r="E169" s="53">
        <f>SUM(E168:E168)</f>
        <v>33821</v>
      </c>
      <c r="F169" s="53">
        <f>E169</f>
        <v>33821</v>
      </c>
      <c r="G169" s="53"/>
      <c r="H169" s="6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s="7" customFormat="1" ht="12.75">
      <c r="A170" s="142" t="s">
        <v>47</v>
      </c>
      <c r="B170" s="142"/>
      <c r="C170" s="142"/>
      <c r="D170" s="142"/>
      <c r="E170" s="142"/>
      <c r="F170" s="142"/>
      <c r="G170" s="142"/>
      <c r="H170" s="142"/>
      <c r="I170" s="14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s="7" customFormat="1" ht="12.75">
      <c r="A171" s="1">
        <v>4</v>
      </c>
      <c r="B171" s="15" t="s">
        <v>48</v>
      </c>
      <c r="C171" s="5" t="s">
        <v>13</v>
      </c>
      <c r="D171" s="1">
        <v>1</v>
      </c>
      <c r="E171" s="1">
        <v>29129</v>
      </c>
      <c r="F171" s="1"/>
      <c r="G171" s="1"/>
      <c r="H171" s="6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s="7" customFormat="1" ht="14.25" customHeight="1">
      <c r="A172" s="142" t="s">
        <v>57</v>
      </c>
      <c r="B172" s="142"/>
      <c r="C172" s="53"/>
      <c r="D172" s="53"/>
      <c r="E172" s="53">
        <f>SUM(E171:E171)</f>
        <v>29129</v>
      </c>
      <c r="F172" s="53">
        <f>E172</f>
        <v>29129</v>
      </c>
      <c r="G172" s="53"/>
      <c r="H172" s="6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s="7" customFormat="1" ht="14.25" customHeight="1">
      <c r="A173" s="142"/>
      <c r="B173" s="142"/>
      <c r="C173" s="142"/>
      <c r="D173" s="142"/>
      <c r="E173" s="142"/>
      <c r="F173" s="142"/>
      <c r="G173" s="142"/>
      <c r="H173" s="142"/>
      <c r="I173" s="14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s="7" customFormat="1" ht="12.75" customHeight="1">
      <c r="A174" s="51"/>
      <c r="B174" s="51" t="s">
        <v>39</v>
      </c>
      <c r="C174" s="53"/>
      <c r="D174" s="53"/>
      <c r="E174" s="53">
        <f>E166+E169+E172</f>
        <v>163058</v>
      </c>
      <c r="F174" s="53">
        <f>F166+F169+F172</f>
        <v>163058</v>
      </c>
      <c r="G174" s="53"/>
      <c r="H174" s="53"/>
      <c r="I174" s="5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s="7" customFormat="1" ht="12.75">
      <c r="A175" s="51"/>
      <c r="B175" s="51" t="s">
        <v>18</v>
      </c>
      <c r="C175" s="53"/>
      <c r="D175" s="53"/>
      <c r="E175" s="53"/>
      <c r="F175" s="36"/>
      <c r="G175" s="53"/>
      <c r="H175" s="53"/>
      <c r="I175" s="5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s="7" customFormat="1" ht="12.75">
      <c r="A176" s="51"/>
      <c r="B176" s="51" t="s">
        <v>19</v>
      </c>
      <c r="C176" s="53"/>
      <c r="D176" s="53"/>
      <c r="E176" s="38">
        <f>F176</f>
        <v>163058</v>
      </c>
      <c r="F176" s="38">
        <f>F174</f>
        <v>163058</v>
      </c>
      <c r="G176" s="53"/>
      <c r="H176" s="53"/>
      <c r="I176" s="5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s="7" customFormat="1" ht="12.75">
      <c r="A177" s="51"/>
      <c r="B177" s="51" t="s">
        <v>9</v>
      </c>
      <c r="C177" s="53"/>
      <c r="D177" s="53"/>
      <c r="E177" s="53">
        <f>F177</f>
        <v>100108</v>
      </c>
      <c r="F177" s="53">
        <f>F162</f>
        <v>100108</v>
      </c>
      <c r="G177" s="53"/>
      <c r="H177" s="53"/>
      <c r="I177" s="5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s="7" customFormat="1" ht="12.75">
      <c r="A178" s="51"/>
      <c r="B178" s="51" t="s">
        <v>10</v>
      </c>
      <c r="C178" s="53"/>
      <c r="D178" s="53"/>
      <c r="E178" s="53">
        <f>F178</f>
        <v>62950</v>
      </c>
      <c r="F178" s="53">
        <f>F163</f>
        <v>62950</v>
      </c>
      <c r="G178" s="53"/>
      <c r="H178" s="53"/>
      <c r="I178" s="5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s="7" customFormat="1" ht="12.75">
      <c r="A179" s="143" t="s">
        <v>40</v>
      </c>
      <c r="B179" s="143"/>
      <c r="C179" s="143"/>
      <c r="D179" s="143"/>
      <c r="E179" s="143"/>
      <c r="F179" s="143"/>
      <c r="G179" s="143"/>
      <c r="H179" s="143"/>
      <c r="I179" s="14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s="7" customFormat="1" ht="12.75">
      <c r="A180" s="142" t="s">
        <v>41</v>
      </c>
      <c r="B180" s="142"/>
      <c r="C180" s="1"/>
      <c r="D180" s="1"/>
      <c r="E180" s="53">
        <f>E181+E182</f>
        <v>192998</v>
      </c>
      <c r="F180" s="53">
        <f>F181+F182</f>
        <v>192998</v>
      </c>
      <c r="G180" s="53"/>
      <c r="H180" s="53"/>
      <c r="I180" s="5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s="7" customFormat="1" ht="12.75">
      <c r="A181" s="53"/>
      <c r="B181" s="51" t="s">
        <v>9</v>
      </c>
      <c r="C181" s="1"/>
      <c r="D181" s="1"/>
      <c r="E181" s="53">
        <f>E184+E191</f>
        <v>161890</v>
      </c>
      <c r="F181" s="53">
        <f>E181</f>
        <v>161890</v>
      </c>
      <c r="G181" s="53"/>
      <c r="H181" s="5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s="7" customFormat="1" ht="12.75">
      <c r="A182" s="53"/>
      <c r="B182" s="51" t="s">
        <v>10</v>
      </c>
      <c r="C182" s="1"/>
      <c r="D182" s="1"/>
      <c r="E182" s="53">
        <f>E187</f>
        <v>31108</v>
      </c>
      <c r="F182" s="53">
        <f>E182</f>
        <v>31108</v>
      </c>
      <c r="G182" s="53"/>
      <c r="H182" s="5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s="7" customFormat="1" ht="12.75">
      <c r="A183" s="142" t="s">
        <v>11</v>
      </c>
      <c r="B183" s="142"/>
      <c r="C183" s="142"/>
      <c r="D183" s="142"/>
      <c r="E183" s="142"/>
      <c r="F183" s="142"/>
      <c r="G183" s="142"/>
      <c r="H183" s="142"/>
      <c r="I183" s="14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s="7" customFormat="1" ht="38.25">
      <c r="A184" s="1">
        <v>1</v>
      </c>
      <c r="B184" s="15" t="s">
        <v>50</v>
      </c>
      <c r="C184" s="5" t="s">
        <v>12</v>
      </c>
      <c r="D184" s="1">
        <v>2050</v>
      </c>
      <c r="E184" s="1">
        <v>100572</v>
      </c>
      <c r="F184" s="1"/>
      <c r="G184" s="1"/>
      <c r="H184" s="6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s="7" customFormat="1" ht="16.5" customHeight="1">
      <c r="A185" s="142" t="s">
        <v>14</v>
      </c>
      <c r="B185" s="142"/>
      <c r="C185" s="1"/>
      <c r="D185" s="53"/>
      <c r="E185" s="53">
        <f>SUM(E184:E184)</f>
        <v>100572</v>
      </c>
      <c r="F185" s="53">
        <f>E185</f>
        <v>100572</v>
      </c>
      <c r="G185" s="53"/>
      <c r="H185" s="6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s="7" customFormat="1" ht="17.25" customHeight="1">
      <c r="A186" s="142" t="s">
        <v>15</v>
      </c>
      <c r="B186" s="142"/>
      <c r="C186" s="142"/>
      <c r="D186" s="142"/>
      <c r="E186" s="142"/>
      <c r="F186" s="142"/>
      <c r="G186" s="142"/>
      <c r="H186" s="142"/>
      <c r="I186" s="14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s="7" customFormat="1" ht="38.25">
      <c r="A187" s="1">
        <v>2</v>
      </c>
      <c r="B187" s="15" t="s">
        <v>51</v>
      </c>
      <c r="C187" s="5" t="s">
        <v>12</v>
      </c>
      <c r="D187" s="1">
        <v>670</v>
      </c>
      <c r="E187" s="1">
        <v>31108</v>
      </c>
      <c r="F187" s="1"/>
      <c r="G187" s="1"/>
      <c r="H187" s="6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s="7" customFormat="1" ht="14.25" customHeight="1">
      <c r="A188" s="142" t="s">
        <v>16</v>
      </c>
      <c r="B188" s="142"/>
      <c r="C188" s="53"/>
      <c r="D188" s="53"/>
      <c r="E188" s="53">
        <f>SUM(E187:E187)</f>
        <v>31108</v>
      </c>
      <c r="F188" s="53">
        <f>E188</f>
        <v>31108</v>
      </c>
      <c r="G188" s="53"/>
      <c r="H188" s="6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s="7" customFormat="1" ht="16.5" customHeight="1">
      <c r="A189" s="142" t="s">
        <v>21</v>
      </c>
      <c r="B189" s="142"/>
      <c r="C189" s="142"/>
      <c r="D189" s="142"/>
      <c r="E189" s="142"/>
      <c r="F189" s="142"/>
      <c r="G189" s="142"/>
      <c r="H189" s="142"/>
      <c r="I189" s="14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s="7" customFormat="1" ht="25.5">
      <c r="A190" s="1">
        <v>3</v>
      </c>
      <c r="B190" s="15" t="s">
        <v>46</v>
      </c>
      <c r="C190" s="1" t="s">
        <v>56</v>
      </c>
      <c r="D190" s="1">
        <v>1</v>
      </c>
      <c r="E190" s="1">
        <v>61318</v>
      </c>
      <c r="F190" s="1"/>
      <c r="G190" s="1"/>
      <c r="H190" s="6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s="7" customFormat="1" ht="18" customHeight="1">
      <c r="A191" s="142" t="s">
        <v>22</v>
      </c>
      <c r="B191" s="142"/>
      <c r="C191" s="53"/>
      <c r="D191" s="53"/>
      <c r="E191" s="53">
        <f>SUM(E190:E190)</f>
        <v>61318</v>
      </c>
      <c r="F191" s="53">
        <f>E191</f>
        <v>61318</v>
      </c>
      <c r="G191" s="53"/>
      <c r="H191" s="6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s="7" customFormat="1" ht="14.25" customHeight="1">
      <c r="A192" s="51"/>
      <c r="B192" s="51" t="s">
        <v>42</v>
      </c>
      <c r="C192" s="53"/>
      <c r="D192" s="53"/>
      <c r="E192" s="53">
        <f>E180</f>
        <v>192998</v>
      </c>
      <c r="F192" s="53">
        <f>F180</f>
        <v>192998</v>
      </c>
      <c r="G192" s="53"/>
      <c r="H192" s="53"/>
      <c r="I192" s="5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s="7" customFormat="1" ht="12.75">
      <c r="A193" s="51"/>
      <c r="B193" s="51" t="s">
        <v>18</v>
      </c>
      <c r="C193" s="53"/>
      <c r="D193" s="53"/>
      <c r="E193" s="53"/>
      <c r="F193" s="36"/>
      <c r="G193" s="53"/>
      <c r="H193" s="53"/>
      <c r="I193" s="5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s="7" customFormat="1" ht="12.75" customHeight="1">
      <c r="A194" s="51"/>
      <c r="B194" s="51" t="s">
        <v>19</v>
      </c>
      <c r="C194" s="53"/>
      <c r="D194" s="53"/>
      <c r="E194" s="38">
        <f>F194</f>
        <v>192998</v>
      </c>
      <c r="F194" s="38">
        <f>F192</f>
        <v>192998</v>
      </c>
      <c r="G194" s="53"/>
      <c r="H194" s="53"/>
      <c r="I194" s="5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s="7" customFormat="1" ht="12.75">
      <c r="A195" s="51"/>
      <c r="B195" s="51" t="s">
        <v>9</v>
      </c>
      <c r="C195" s="53"/>
      <c r="D195" s="53"/>
      <c r="E195" s="53">
        <f>F195</f>
        <v>161890</v>
      </c>
      <c r="F195" s="53">
        <f>F181</f>
        <v>161890</v>
      </c>
      <c r="G195" s="53"/>
      <c r="H195" s="53"/>
      <c r="I195" s="5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s="7" customFormat="1" ht="12.75">
      <c r="A196" s="51"/>
      <c r="B196" s="51" t="s">
        <v>10</v>
      </c>
      <c r="C196" s="53"/>
      <c r="D196" s="53"/>
      <c r="E196" s="53">
        <f>F196</f>
        <v>31108</v>
      </c>
      <c r="F196" s="53">
        <f>F182</f>
        <v>31108</v>
      </c>
      <c r="G196" s="53"/>
      <c r="H196" s="53"/>
      <c r="I196" s="5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s="7" customFormat="1" ht="15.75" customHeight="1">
      <c r="A197" s="143" t="s">
        <v>43</v>
      </c>
      <c r="B197" s="143"/>
      <c r="C197" s="143"/>
      <c r="D197" s="143"/>
      <c r="E197" s="143"/>
      <c r="F197" s="143"/>
      <c r="G197" s="143"/>
      <c r="H197" s="143"/>
      <c r="I197" s="14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s="7" customFormat="1" ht="12.75">
      <c r="A198" s="142" t="s">
        <v>44</v>
      </c>
      <c r="B198" s="142"/>
      <c r="C198" s="1"/>
      <c r="D198" s="1"/>
      <c r="E198" s="53">
        <f>E199+E200</f>
        <v>175580</v>
      </c>
      <c r="F198" s="53">
        <f>F199+F200</f>
        <v>175580</v>
      </c>
      <c r="G198" s="53"/>
      <c r="H198" s="53"/>
      <c r="I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s="7" customFormat="1" ht="12.75">
      <c r="A199" s="53"/>
      <c r="B199" s="51" t="s">
        <v>9</v>
      </c>
      <c r="C199" s="1"/>
      <c r="D199" s="1"/>
      <c r="E199" s="53">
        <f>E202</f>
        <v>151564</v>
      </c>
      <c r="F199" s="53">
        <f>E199</f>
        <v>151564</v>
      </c>
      <c r="G199" s="53"/>
      <c r="H199" s="5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s="7" customFormat="1" ht="12.75">
      <c r="A200" s="53"/>
      <c r="B200" s="51" t="s">
        <v>10</v>
      </c>
      <c r="C200" s="1"/>
      <c r="D200" s="1"/>
      <c r="E200" s="53">
        <f>E205</f>
        <v>24016</v>
      </c>
      <c r="F200" s="53">
        <f>E200</f>
        <v>24016</v>
      </c>
      <c r="G200" s="53"/>
      <c r="H200" s="5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s="7" customFormat="1" ht="12.75">
      <c r="A201" s="142" t="s">
        <v>11</v>
      </c>
      <c r="B201" s="142"/>
      <c r="C201" s="142"/>
      <c r="D201" s="142"/>
      <c r="E201" s="142"/>
      <c r="F201" s="142"/>
      <c r="G201" s="142"/>
      <c r="H201" s="142"/>
      <c r="I201" s="14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s="7" customFormat="1" ht="25.5">
      <c r="A202" s="1">
        <v>1</v>
      </c>
      <c r="B202" s="15" t="s">
        <v>55</v>
      </c>
      <c r="C202" s="1" t="s">
        <v>12</v>
      </c>
      <c r="D202" s="1">
        <v>337</v>
      </c>
      <c r="E202" s="1">
        <v>151564</v>
      </c>
      <c r="F202" s="1"/>
      <c r="G202" s="1"/>
      <c r="H202" s="6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s="7" customFormat="1" ht="12.75">
      <c r="A203" s="142" t="s">
        <v>14</v>
      </c>
      <c r="B203" s="142"/>
      <c r="C203" s="1"/>
      <c r="D203" s="53"/>
      <c r="E203" s="53">
        <f>SUM(E202:E202)</f>
        <v>151564</v>
      </c>
      <c r="F203" s="53">
        <f>E203</f>
        <v>151564</v>
      </c>
      <c r="G203" s="53"/>
      <c r="H203" s="6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s="7" customFormat="1" ht="12.75">
      <c r="A204" s="142" t="s">
        <v>15</v>
      </c>
      <c r="B204" s="142"/>
      <c r="C204" s="142"/>
      <c r="D204" s="142"/>
      <c r="E204" s="142"/>
      <c r="F204" s="142"/>
      <c r="G204" s="142"/>
      <c r="H204" s="142"/>
      <c r="I204" s="14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s="7" customFormat="1" ht="38.25">
      <c r="A205" s="1">
        <v>2</v>
      </c>
      <c r="B205" s="15" t="s">
        <v>52</v>
      </c>
      <c r="C205" s="1" t="s">
        <v>13</v>
      </c>
      <c r="D205" s="1">
        <v>1</v>
      </c>
      <c r="E205" s="1">
        <v>24016</v>
      </c>
      <c r="F205" s="1"/>
      <c r="G205" s="1"/>
      <c r="H205" s="6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s="7" customFormat="1" ht="16.5" customHeight="1">
      <c r="A206" s="142" t="s">
        <v>16</v>
      </c>
      <c r="B206" s="142"/>
      <c r="C206" s="53"/>
      <c r="D206" s="53"/>
      <c r="E206" s="53">
        <f>SUM(E205:E205)</f>
        <v>24016</v>
      </c>
      <c r="F206" s="53">
        <f>E206</f>
        <v>24016</v>
      </c>
      <c r="G206" s="53"/>
      <c r="H206" s="6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s="7" customFormat="1" ht="12.75">
      <c r="A207" s="51"/>
      <c r="B207" s="51" t="s">
        <v>45</v>
      </c>
      <c r="C207" s="53"/>
      <c r="D207" s="53"/>
      <c r="E207" s="53">
        <f>E198</f>
        <v>175580</v>
      </c>
      <c r="F207" s="53">
        <f>F198</f>
        <v>175580</v>
      </c>
      <c r="G207" s="53"/>
      <c r="H207" s="53"/>
      <c r="I207" s="5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s="7" customFormat="1" ht="12.75">
      <c r="A208" s="51"/>
      <c r="B208" s="51" t="s">
        <v>18</v>
      </c>
      <c r="C208" s="53"/>
      <c r="D208" s="53"/>
      <c r="E208" s="36"/>
      <c r="F208" s="36"/>
      <c r="G208" s="53"/>
      <c r="H208" s="53"/>
      <c r="I208" s="5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s="7" customFormat="1" ht="12.75">
      <c r="A209" s="51"/>
      <c r="B209" s="51" t="s">
        <v>19</v>
      </c>
      <c r="C209" s="53"/>
      <c r="D209" s="53"/>
      <c r="E209" s="38">
        <f>F209</f>
        <v>175580</v>
      </c>
      <c r="F209" s="38">
        <f>F207</f>
        <v>175580</v>
      </c>
      <c r="G209" s="53"/>
      <c r="H209" s="53"/>
      <c r="I209" s="5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s="7" customFormat="1" ht="14.25" customHeight="1">
      <c r="A210" s="51"/>
      <c r="B210" s="51" t="s">
        <v>9</v>
      </c>
      <c r="C210" s="53"/>
      <c r="D210" s="53"/>
      <c r="E210" s="53">
        <f>F210+G210+H210</f>
        <v>151564</v>
      </c>
      <c r="F210" s="53">
        <f>F199</f>
        <v>151564</v>
      </c>
      <c r="G210" s="53"/>
      <c r="H210" s="53"/>
      <c r="I210" s="5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s="7" customFormat="1" ht="12.75" customHeight="1">
      <c r="A211" s="51"/>
      <c r="B211" s="51" t="s">
        <v>10</v>
      </c>
      <c r="C211" s="53"/>
      <c r="D211" s="53"/>
      <c r="E211" s="53">
        <f>F211+G211+H211</f>
        <v>24016</v>
      </c>
      <c r="F211" s="53">
        <f>F200</f>
        <v>24016</v>
      </c>
      <c r="G211" s="53"/>
      <c r="H211" s="53"/>
      <c r="I211" s="5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s="7" customFormat="1" ht="14.25" customHeight="1">
      <c r="A212" s="51"/>
      <c r="B212" s="51"/>
      <c r="C212" s="53"/>
      <c r="D212" s="53"/>
      <c r="E212" s="53"/>
      <c r="F212" s="53"/>
      <c r="G212" s="53"/>
      <c r="H212" s="53"/>
      <c r="I212" s="5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s="7" customFormat="1" ht="14.25" customHeight="1">
      <c r="A213" s="143" t="s">
        <v>17</v>
      </c>
      <c r="B213" s="143"/>
      <c r="C213" s="1"/>
      <c r="D213" s="1"/>
      <c r="E213" s="53">
        <f>E207+E192+E174+E153+E134</f>
        <v>3167817.1065714285</v>
      </c>
      <c r="F213" s="53">
        <f>F214+F215</f>
        <v>910575.5</v>
      </c>
      <c r="G213" s="53"/>
      <c r="H213" s="53"/>
      <c r="I213" s="7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s="7" customFormat="1" ht="16.5" customHeight="1">
      <c r="A214" s="76"/>
      <c r="B214" s="52" t="s">
        <v>18</v>
      </c>
      <c r="C214" s="76"/>
      <c r="D214" s="76"/>
      <c r="E214" s="53">
        <f>E135</f>
        <v>3986</v>
      </c>
      <c r="F214" s="53">
        <f>E214</f>
        <v>3986</v>
      </c>
      <c r="G214" s="77"/>
      <c r="H214" s="77"/>
      <c r="I214" s="76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s="7" customFormat="1" ht="21" customHeight="1">
      <c r="A215" s="78"/>
      <c r="B215" s="37" t="s">
        <v>19</v>
      </c>
      <c r="C215" s="78"/>
      <c r="D215" s="78"/>
      <c r="E215" s="53">
        <f>E136+E155+E176+E194+E209</f>
        <v>906590.321</v>
      </c>
      <c r="F215" s="53">
        <f>F136+F155+F176+F194+F209-0.5</f>
        <v>906589.5</v>
      </c>
      <c r="G215" s="77"/>
      <c r="H215" s="77"/>
      <c r="I215" s="76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s="7" customFormat="1" ht="12.75">
      <c r="A216" s="79" t="s">
        <v>24</v>
      </c>
      <c r="B216" s="52" t="s">
        <v>20</v>
      </c>
      <c r="C216" s="79"/>
      <c r="D216" s="79"/>
      <c r="E216" s="21">
        <f>E156</f>
        <v>1250511.5</v>
      </c>
      <c r="F216" s="21"/>
      <c r="G216" s="53">
        <f>G218</f>
        <v>1250511.5</v>
      </c>
      <c r="H216" s="53"/>
      <c r="I216" s="79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s="7" customFormat="1" ht="14.25" customHeight="1">
      <c r="A217" s="76"/>
      <c r="B217" s="52" t="s">
        <v>8</v>
      </c>
      <c r="C217" s="76"/>
      <c r="D217" s="76"/>
      <c r="E217" s="21">
        <f>H217</f>
        <v>1006729</v>
      </c>
      <c r="F217" s="77"/>
      <c r="G217" s="53"/>
      <c r="H217" s="53">
        <f>H218</f>
        <v>1006729</v>
      </c>
      <c r="I217" s="76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s="7" customFormat="1" ht="12.75">
      <c r="A218" s="1"/>
      <c r="B218" s="52" t="s">
        <v>9</v>
      </c>
      <c r="C218" s="1"/>
      <c r="D218" s="1"/>
      <c r="E218" s="53">
        <f>E213-E219</f>
        <v>2902849.1065714285</v>
      </c>
      <c r="F218" s="53">
        <f>F199+F181+F162+F141+F15</f>
        <v>645608.321</v>
      </c>
      <c r="G218" s="53">
        <f>G152</f>
        <v>1250511.5</v>
      </c>
      <c r="H218" s="53">
        <f>H158</f>
        <v>1006729</v>
      </c>
      <c r="I218" s="7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s="7" customFormat="1" ht="12.75">
      <c r="A219" s="1"/>
      <c r="B219" s="52" t="s">
        <v>10</v>
      </c>
      <c r="C219" s="1"/>
      <c r="D219" s="1"/>
      <c r="E219" s="53">
        <f>F219+G219+H219</f>
        <v>264968</v>
      </c>
      <c r="F219" s="53">
        <f>F200+F182+F163+F142+F16</f>
        <v>264968</v>
      </c>
      <c r="G219" s="53"/>
      <c r="H219" s="53"/>
      <c r="I219" s="7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s="7" customFormat="1" ht="12.7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s="7" customFormat="1" ht="12.75">
      <c r="A221" s="43"/>
      <c r="B221" s="43"/>
      <c r="C221" s="43"/>
      <c r="D221" s="43"/>
      <c r="E221" s="43"/>
      <c r="F221" s="43"/>
      <c r="G221" s="43"/>
      <c r="H221" s="43"/>
      <c r="I221" s="4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s="7" customFormat="1" ht="25.5" customHeight="1">
      <c r="A222" s="43"/>
      <c r="B222" s="80" t="s">
        <v>23</v>
      </c>
      <c r="C222" s="43"/>
      <c r="D222" s="43"/>
      <c r="E222" s="43"/>
      <c r="F222" s="43"/>
      <c r="G222" s="43"/>
      <c r="H222" s="80" t="s">
        <v>35</v>
      </c>
      <c r="I222" s="4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s="7" customFormat="1" ht="12.75" customHeight="1">
      <c r="A223" s="43"/>
      <c r="B223" s="43"/>
      <c r="C223" s="43"/>
      <c r="D223" s="43"/>
      <c r="E223" s="43"/>
      <c r="F223" s="43"/>
      <c r="G223" s="43"/>
      <c r="H223" s="81">
        <v>44853</v>
      </c>
      <c r="I223" s="4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s="7" customFormat="1" ht="12.75">
      <c r="A224" s="43"/>
      <c r="B224" s="43"/>
      <c r="C224" s="43"/>
      <c r="D224" s="43"/>
      <c r="E224" s="43"/>
      <c r="F224" s="43"/>
      <c r="G224" s="43"/>
      <c r="H224" s="43"/>
      <c r="I224" s="4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s="7" customFormat="1" ht="25.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s="7" customFormat="1" ht="12.75">
      <c r="A226" s="43"/>
      <c r="B226" s="43"/>
      <c r="C226" s="43"/>
      <c r="D226" s="43"/>
      <c r="E226" s="43"/>
      <c r="F226" s="43"/>
      <c r="G226" s="43"/>
      <c r="H226" s="43"/>
      <c r="I226" s="4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s="7" customFormat="1" ht="12.75">
      <c r="A227" s="43"/>
      <c r="B227" s="43"/>
      <c r="C227" s="43"/>
      <c r="D227" s="43"/>
      <c r="E227" s="43"/>
      <c r="F227" s="43"/>
      <c r="G227" s="43"/>
      <c r="H227" s="43"/>
      <c r="I227" s="4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s="7" customFormat="1" ht="12.75">
      <c r="A228" s="43"/>
      <c r="B228" s="43"/>
      <c r="C228" s="43"/>
      <c r="D228" s="43"/>
      <c r="E228" s="43"/>
      <c r="F228" s="43"/>
      <c r="G228" s="43"/>
      <c r="H228" s="43"/>
      <c r="I228" s="4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s="7" customFormat="1" ht="12.75">
      <c r="A229" s="43"/>
      <c r="B229" s="43"/>
      <c r="C229" s="43"/>
      <c r="D229" s="43"/>
      <c r="E229" s="43"/>
      <c r="F229" s="43"/>
      <c r="G229" s="43"/>
      <c r="H229" s="43"/>
      <c r="I229" s="4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s="7" customFormat="1" ht="12.75">
      <c r="A230" s="43"/>
      <c r="B230" s="43"/>
      <c r="C230" s="43"/>
      <c r="D230" s="43"/>
      <c r="E230" s="43"/>
      <c r="F230" s="43"/>
      <c r="G230" s="43"/>
      <c r="H230" s="43"/>
      <c r="I230" s="4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s="7" customFormat="1" ht="12.75">
      <c r="A231" s="43"/>
      <c r="B231" s="43"/>
      <c r="C231" s="43"/>
      <c r="D231" s="43"/>
      <c r="E231" s="43"/>
      <c r="F231" s="43"/>
      <c r="G231" s="43"/>
      <c r="H231" s="43"/>
      <c r="I231" s="4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s="7" customFormat="1" ht="12.75">
      <c r="A232" s="43"/>
      <c r="B232" s="43"/>
      <c r="C232" s="43"/>
      <c r="D232" s="43"/>
      <c r="E232" s="43"/>
      <c r="F232" s="43"/>
      <c r="G232" s="43"/>
      <c r="H232" s="43"/>
      <c r="I232" s="4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s="7" customFormat="1" ht="12.75">
      <c r="A233" s="43"/>
      <c r="B233" s="43"/>
      <c r="C233" s="43"/>
      <c r="D233" s="43"/>
      <c r="E233" s="43"/>
      <c r="F233" s="43"/>
      <c r="G233" s="43"/>
      <c r="H233" s="43"/>
      <c r="I233" s="4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s="7" customFormat="1" ht="12.75">
      <c r="A234" s="43"/>
      <c r="B234" s="43"/>
      <c r="C234" s="43"/>
      <c r="D234" s="43"/>
      <c r="E234" s="43"/>
      <c r="F234" s="43"/>
      <c r="G234" s="43"/>
      <c r="H234" s="43"/>
      <c r="I234" s="4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3:20" ht="15.75" customHeight="1">
      <c r="M235" s="12"/>
      <c r="N235" s="12"/>
      <c r="O235" s="12"/>
      <c r="P235" s="12"/>
      <c r="Q235" s="12"/>
      <c r="S235" s="12"/>
      <c r="T235" s="12"/>
    </row>
    <row r="236" spans="13:20" ht="15">
      <c r="M236" s="12"/>
      <c r="N236" s="12"/>
      <c r="O236" s="12"/>
      <c r="P236" s="12"/>
      <c r="Q236" s="12"/>
      <c r="T236" s="12"/>
    </row>
    <row r="237" spans="13:20" ht="15">
      <c r="M237" s="12"/>
      <c r="N237" s="12"/>
      <c r="O237" s="12"/>
      <c r="P237" s="12"/>
      <c r="Q237" s="12"/>
      <c r="T237" s="12"/>
    </row>
    <row r="238" spans="13:17" ht="15">
      <c r="M238" s="12"/>
      <c r="N238" s="12"/>
      <c r="O238" s="12"/>
      <c r="P238" s="12"/>
      <c r="Q238" s="12"/>
    </row>
    <row r="239" spans="13:17" ht="15">
      <c r="M239" s="12"/>
      <c r="N239" s="12"/>
      <c r="O239" s="12"/>
      <c r="P239" s="12"/>
      <c r="Q239" s="12"/>
    </row>
    <row r="240" spans="13:17" ht="15">
      <c r="M240" s="12"/>
      <c r="N240" s="12"/>
      <c r="O240" s="12"/>
      <c r="P240" s="12"/>
      <c r="Q240" s="12"/>
    </row>
    <row r="241" spans="13:17" ht="15">
      <c r="M241" s="12"/>
      <c r="N241" s="12"/>
      <c r="O241" s="12"/>
      <c r="P241" s="12"/>
      <c r="Q241" s="12"/>
    </row>
    <row r="242" spans="13:17" ht="15">
      <c r="M242" s="12"/>
      <c r="N242" s="12"/>
      <c r="O242" s="12"/>
      <c r="P242" s="12"/>
      <c r="Q242" s="12"/>
    </row>
  </sheetData>
  <sheetProtection/>
  <mergeCells count="50">
    <mergeCell ref="A206:B206"/>
    <mergeCell ref="A152:B152"/>
    <mergeCell ref="A213:B213"/>
    <mergeCell ref="A179:I179"/>
    <mergeCell ref="A180:B180"/>
    <mergeCell ref="A183:I183"/>
    <mergeCell ref="A185:B185"/>
    <mergeCell ref="A186:I186"/>
    <mergeCell ref="A204:I204"/>
    <mergeCell ref="A201:I201"/>
    <mergeCell ref="A203:B203"/>
    <mergeCell ref="A161:B161"/>
    <mergeCell ref="A170:I170"/>
    <mergeCell ref="A197:I197"/>
    <mergeCell ref="A188:B188"/>
    <mergeCell ref="A189:I189"/>
    <mergeCell ref="A160:I160"/>
    <mergeCell ref="A169:B169"/>
    <mergeCell ref="A198:B198"/>
    <mergeCell ref="A164:I164"/>
    <mergeCell ref="A166:B166"/>
    <mergeCell ref="A167:I167"/>
    <mergeCell ref="A191:B191"/>
    <mergeCell ref="A173:I173"/>
    <mergeCell ref="A172:B172"/>
    <mergeCell ref="H1:I1"/>
    <mergeCell ref="G2:I4"/>
    <mergeCell ref="A5:I5"/>
    <mergeCell ref="A6:I6"/>
    <mergeCell ref="A7:I7"/>
    <mergeCell ref="D10:D11"/>
    <mergeCell ref="A14:B14"/>
    <mergeCell ref="B17:I17"/>
    <mergeCell ref="A8:I8"/>
    <mergeCell ref="A10:A11"/>
    <mergeCell ref="B10:B11"/>
    <mergeCell ref="C10:C11"/>
    <mergeCell ref="E10:E11"/>
    <mergeCell ref="F10:I10"/>
    <mergeCell ref="A13:I13"/>
    <mergeCell ref="A149:I149"/>
    <mergeCell ref="A139:I139"/>
    <mergeCell ref="A140:B140"/>
    <mergeCell ref="B52:I52"/>
    <mergeCell ref="A148:B148"/>
    <mergeCell ref="A51:B51"/>
    <mergeCell ref="A62:B62"/>
    <mergeCell ref="A143:I143"/>
    <mergeCell ref="A145:B145"/>
    <mergeCell ref="A146:I146"/>
  </mergeCells>
  <printOptions/>
  <pageMargins left="0.7874015748031497" right="0.1968503937007874" top="0.1968503937007874" bottom="0.1968503937007874" header="0.31496062992125984" footer="0.31496062992125984"/>
  <pageSetup fitToHeight="11" horizontalDpi="600" verticalDpi="600" orientation="landscape" paperSize="9" scale="85" r:id="rId1"/>
  <rowBreaks count="4" manualBreakCount="4">
    <brk id="39" max="8" man="1"/>
    <brk id="138" max="8" man="1"/>
    <brk id="159" max="8" man="1"/>
    <brk id="196" max="8" man="1"/>
  </rowBreaks>
  <ignoredErrors>
    <ignoredError sqref="E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Y152"/>
  <sheetViews>
    <sheetView tabSelected="1" zoomScaleSheetLayoutView="85" zoomScalePageLayoutView="0" workbookViewId="0" topLeftCell="A55">
      <selection activeCell="E26" sqref="E26"/>
    </sheetView>
  </sheetViews>
  <sheetFormatPr defaultColWidth="9.140625" defaultRowHeight="15"/>
  <cols>
    <col min="1" max="1" width="4.00390625" style="8" customWidth="1"/>
    <col min="2" max="2" width="44.7109375" style="8" customWidth="1"/>
    <col min="3" max="3" width="8.00390625" style="8" customWidth="1"/>
    <col min="4" max="4" width="6.7109375" style="8" customWidth="1"/>
    <col min="5" max="5" width="10.7109375" style="8" customWidth="1"/>
    <col min="6" max="6" width="11.28125" style="8" customWidth="1"/>
    <col min="7" max="7" width="8.421875" style="8" customWidth="1"/>
    <col min="8" max="8" width="11.7109375" style="8" customWidth="1"/>
    <col min="9" max="9" width="7.8515625" style="8" customWidth="1"/>
    <col min="10" max="10" width="7.7109375" style="8" customWidth="1"/>
    <col min="11" max="11" width="11.140625" style="8" customWidth="1"/>
    <col min="12" max="12" width="12.57421875" style="8" customWidth="1"/>
    <col min="13" max="13" width="9.00390625" style="8" customWidth="1"/>
    <col min="14" max="14" width="11.140625" style="8" customWidth="1"/>
    <col min="15" max="15" width="16.8515625" style="8" customWidth="1"/>
  </cols>
  <sheetData>
    <row r="1" spans="1:15" ht="15.75">
      <c r="A1" s="9"/>
      <c r="B1" s="9"/>
      <c r="C1" s="9"/>
      <c r="D1" s="9"/>
      <c r="E1" s="9"/>
      <c r="F1" s="9"/>
      <c r="M1" s="10"/>
      <c r="N1" s="156" t="s">
        <v>28</v>
      </c>
      <c r="O1" s="156"/>
    </row>
    <row r="2" spans="12:15" ht="15" customHeight="1">
      <c r="L2" s="160" t="s">
        <v>204</v>
      </c>
      <c r="M2" s="160"/>
      <c r="N2" s="160"/>
      <c r="O2" s="160"/>
    </row>
    <row r="3" spans="12:15" ht="15" customHeight="1">
      <c r="L3" s="160"/>
      <c r="M3" s="160"/>
      <c r="N3" s="160"/>
      <c r="O3" s="160"/>
    </row>
    <row r="4" spans="1:15" ht="15.75">
      <c r="A4" s="157" t="s">
        <v>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ht="15.75">
      <c r="A5" s="157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</row>
    <row r="6" spans="1:15" ht="15.75">
      <c r="A6" s="158" t="s">
        <v>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</row>
    <row r="7" spans="1:15" ht="15.75">
      <c r="A7" s="159" t="s">
        <v>29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</row>
    <row r="8" spans="1:8" ht="15.75">
      <c r="A8" s="18"/>
      <c r="B8" s="18"/>
      <c r="C8" s="18"/>
      <c r="D8" s="18"/>
      <c r="E8" s="18"/>
      <c r="F8" s="18"/>
      <c r="G8" s="33"/>
      <c r="H8" s="33"/>
    </row>
    <row r="9" spans="1:15" ht="15.75">
      <c r="A9" s="146" t="s">
        <v>2</v>
      </c>
      <c r="B9" s="143" t="s">
        <v>26</v>
      </c>
      <c r="C9" s="155" t="s">
        <v>229</v>
      </c>
      <c r="D9" s="155"/>
      <c r="E9" s="155"/>
      <c r="F9" s="155"/>
      <c r="G9" s="155"/>
      <c r="H9" s="155"/>
      <c r="I9" s="155" t="s">
        <v>228</v>
      </c>
      <c r="J9" s="155"/>
      <c r="K9" s="155"/>
      <c r="L9" s="155"/>
      <c r="M9" s="155"/>
      <c r="N9" s="155"/>
      <c r="O9" s="155"/>
    </row>
    <row r="10" spans="1:15" ht="15">
      <c r="A10" s="146"/>
      <c r="B10" s="143"/>
      <c r="C10" s="146" t="s">
        <v>227</v>
      </c>
      <c r="D10" s="146" t="s">
        <v>4</v>
      </c>
      <c r="E10" s="146" t="s">
        <v>27</v>
      </c>
      <c r="F10" s="143" t="s">
        <v>5</v>
      </c>
      <c r="G10" s="143"/>
      <c r="H10" s="143"/>
      <c r="I10" s="146" t="s">
        <v>227</v>
      </c>
      <c r="J10" s="146" t="s">
        <v>4</v>
      </c>
      <c r="K10" s="171" t="s">
        <v>27</v>
      </c>
      <c r="L10" s="143" t="s">
        <v>5</v>
      </c>
      <c r="M10" s="143"/>
      <c r="N10" s="143"/>
      <c r="O10" s="143"/>
    </row>
    <row r="11" spans="1:15" ht="25.5">
      <c r="A11" s="146"/>
      <c r="B11" s="143"/>
      <c r="C11" s="146"/>
      <c r="D11" s="146"/>
      <c r="E11" s="146"/>
      <c r="F11" s="20" t="s">
        <v>6</v>
      </c>
      <c r="G11" s="34" t="s">
        <v>7</v>
      </c>
      <c r="H11" s="34" t="s">
        <v>8</v>
      </c>
      <c r="I11" s="146"/>
      <c r="J11" s="146"/>
      <c r="K11" s="171"/>
      <c r="L11" s="20" t="s">
        <v>6</v>
      </c>
      <c r="M11" s="20" t="s">
        <v>7</v>
      </c>
      <c r="N11" s="20" t="s">
        <v>8</v>
      </c>
      <c r="O11" s="11" t="s">
        <v>230</v>
      </c>
    </row>
    <row r="12" spans="1:15" ht="15">
      <c r="A12" s="172" t="s">
        <v>32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</row>
    <row r="13" spans="1:15" ht="15">
      <c r="A13" s="142" t="s">
        <v>33</v>
      </c>
      <c r="B13" s="142"/>
      <c r="C13" s="1"/>
      <c r="D13" s="115">
        <f>D35+D55</f>
        <v>4999</v>
      </c>
      <c r="E13" s="20">
        <f>E14+E15</f>
        <v>225147</v>
      </c>
      <c r="F13" s="20">
        <f>F14+F15</f>
        <v>225147</v>
      </c>
      <c r="G13" s="34"/>
      <c r="H13" s="34"/>
      <c r="I13" s="1"/>
      <c r="J13" s="115">
        <f>J35+J55</f>
        <v>2698</v>
      </c>
      <c r="K13" s="20">
        <f>K14+K15</f>
        <v>105138.696</v>
      </c>
      <c r="L13" s="115"/>
      <c r="M13" s="20"/>
      <c r="N13" s="20"/>
      <c r="O13" s="19"/>
    </row>
    <row r="14" spans="1:16" ht="15">
      <c r="A14" s="20"/>
      <c r="B14" s="19" t="s">
        <v>9</v>
      </c>
      <c r="C14" s="1"/>
      <c r="D14" s="115">
        <f>D35</f>
        <v>3013</v>
      </c>
      <c r="E14" s="110">
        <f>E73</f>
        <v>140400</v>
      </c>
      <c r="F14" s="110">
        <f>E14</f>
        <v>140400</v>
      </c>
      <c r="G14" s="110"/>
      <c r="H14" s="110"/>
      <c r="I14" s="1"/>
      <c r="J14" s="115">
        <f>J35</f>
        <v>1831</v>
      </c>
      <c r="K14" s="110">
        <f>K73</f>
        <v>75278.708</v>
      </c>
      <c r="L14" s="110"/>
      <c r="M14" s="20"/>
      <c r="N14" s="20"/>
      <c r="O14" s="3"/>
      <c r="P14" s="119"/>
    </row>
    <row r="15" spans="1:16" ht="15">
      <c r="A15" s="20"/>
      <c r="B15" s="19" t="s">
        <v>10</v>
      </c>
      <c r="C15" s="1"/>
      <c r="D15" s="115">
        <f>D55</f>
        <v>1986</v>
      </c>
      <c r="E15" s="110">
        <f>E74</f>
        <v>84747</v>
      </c>
      <c r="F15" s="110">
        <f>E15</f>
        <v>84747</v>
      </c>
      <c r="G15" s="110"/>
      <c r="H15" s="110"/>
      <c r="I15" s="1"/>
      <c r="J15" s="115">
        <f>J55</f>
        <v>867</v>
      </c>
      <c r="K15" s="110">
        <f>K74</f>
        <v>29859.988</v>
      </c>
      <c r="L15" s="110"/>
      <c r="M15" s="20"/>
      <c r="N15" s="20"/>
      <c r="O15" s="3"/>
      <c r="P15" s="119"/>
    </row>
    <row r="16" spans="1:15" s="120" customFormat="1" ht="15" customHeight="1">
      <c r="A16" s="131">
        <v>1</v>
      </c>
      <c r="B16" s="161" t="s">
        <v>81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3"/>
    </row>
    <row r="17" spans="1:15" s="8" customFormat="1" ht="25.5">
      <c r="A17" s="40">
        <v>1</v>
      </c>
      <c r="B17" s="14" t="s">
        <v>192</v>
      </c>
      <c r="C17" s="25" t="s">
        <v>12</v>
      </c>
      <c r="D17" s="25">
        <v>717</v>
      </c>
      <c r="E17" s="25">
        <v>59754</v>
      </c>
      <c r="F17" s="1">
        <f>E17</f>
        <v>59754</v>
      </c>
      <c r="G17" s="24"/>
      <c r="H17" s="24"/>
      <c r="I17" s="25" t="s">
        <v>12</v>
      </c>
      <c r="J17" s="25">
        <v>717</v>
      </c>
      <c r="K17" s="25">
        <v>48194.542</v>
      </c>
      <c r="L17" s="25"/>
      <c r="M17" s="23"/>
      <c r="N17" s="23"/>
      <c r="O17" s="16" t="s">
        <v>231</v>
      </c>
    </row>
    <row r="18" spans="1:15" s="8" customFormat="1" ht="25.5">
      <c r="A18" s="40">
        <v>2</v>
      </c>
      <c r="B18" s="14" t="s">
        <v>189</v>
      </c>
      <c r="C18" s="25" t="s">
        <v>12</v>
      </c>
      <c r="D18" s="25">
        <v>311</v>
      </c>
      <c r="E18" s="25">
        <v>9589</v>
      </c>
      <c r="F18" s="1">
        <f>E18</f>
        <v>9589</v>
      </c>
      <c r="G18" s="24"/>
      <c r="H18" s="24"/>
      <c r="I18" s="25"/>
      <c r="J18" s="25">
        <v>0</v>
      </c>
      <c r="K18" s="25">
        <v>0</v>
      </c>
      <c r="L18" s="25"/>
      <c r="M18" s="23"/>
      <c r="N18" s="23"/>
      <c r="O18" s="16" t="s">
        <v>232</v>
      </c>
    </row>
    <row r="19" spans="1:15" s="8" customFormat="1" ht="25.5">
      <c r="A19" s="117">
        <v>3</v>
      </c>
      <c r="B19" s="116" t="s">
        <v>190</v>
      </c>
      <c r="C19" s="25" t="s">
        <v>12</v>
      </c>
      <c r="D19" s="25">
        <v>830</v>
      </c>
      <c r="E19" s="25">
        <v>29753</v>
      </c>
      <c r="F19" s="1">
        <f>E19</f>
        <v>29753</v>
      </c>
      <c r="G19" s="24"/>
      <c r="H19" s="24"/>
      <c r="I19" s="25"/>
      <c r="J19" s="25">
        <v>0</v>
      </c>
      <c r="K19" s="25">
        <v>0</v>
      </c>
      <c r="L19" s="25"/>
      <c r="M19" s="23"/>
      <c r="N19" s="23"/>
      <c r="O19" s="16"/>
    </row>
    <row r="20" spans="1:15" s="8" customFormat="1" ht="15.75">
      <c r="A20" s="40">
        <v>4</v>
      </c>
      <c r="B20" s="113" t="s">
        <v>193</v>
      </c>
      <c r="C20" s="25" t="s">
        <v>12</v>
      </c>
      <c r="D20" s="25">
        <v>285</v>
      </c>
      <c r="E20" s="25">
        <v>10203</v>
      </c>
      <c r="F20" s="25">
        <v>10203</v>
      </c>
      <c r="G20" s="24"/>
      <c r="H20" s="24"/>
      <c r="I20" s="25"/>
      <c r="J20" s="25">
        <v>0</v>
      </c>
      <c r="K20" s="25">
        <v>0</v>
      </c>
      <c r="L20" s="25"/>
      <c r="M20" s="23"/>
      <c r="N20" s="23"/>
      <c r="O20" s="16"/>
    </row>
    <row r="21" spans="1:15" s="8" customFormat="1" ht="15.75">
      <c r="A21" s="40">
        <v>5</v>
      </c>
      <c r="B21" s="113" t="s">
        <v>194</v>
      </c>
      <c r="C21" s="25" t="s">
        <v>12</v>
      </c>
      <c r="D21" s="25">
        <v>370</v>
      </c>
      <c r="E21" s="25">
        <v>13247</v>
      </c>
      <c r="F21" s="25">
        <v>13247</v>
      </c>
      <c r="G21" s="24"/>
      <c r="H21" s="24"/>
      <c r="I21" s="25"/>
      <c r="J21" s="25">
        <v>0</v>
      </c>
      <c r="K21" s="25">
        <v>0</v>
      </c>
      <c r="L21" s="25"/>
      <c r="M21" s="23"/>
      <c r="N21" s="23"/>
      <c r="O21" s="16"/>
    </row>
    <row r="22" spans="1:15" s="8" customFormat="1" ht="25.5">
      <c r="A22" s="117">
        <v>6</v>
      </c>
      <c r="B22" s="113" t="s">
        <v>195</v>
      </c>
      <c r="C22" s="25" t="s">
        <v>12</v>
      </c>
      <c r="D22" s="25">
        <v>35</v>
      </c>
      <c r="E22" s="25">
        <v>1183</v>
      </c>
      <c r="F22" s="25">
        <v>1183</v>
      </c>
      <c r="G22" s="24"/>
      <c r="H22" s="24"/>
      <c r="I22" s="25"/>
      <c r="J22" s="25">
        <v>0</v>
      </c>
      <c r="K22" s="25">
        <v>0</v>
      </c>
      <c r="L22" s="25"/>
      <c r="M22" s="23"/>
      <c r="N22" s="23"/>
      <c r="O22" s="16" t="s">
        <v>232</v>
      </c>
    </row>
    <row r="23" spans="1:15" s="8" customFormat="1" ht="15.75">
      <c r="A23" s="40">
        <v>7</v>
      </c>
      <c r="B23" s="113" t="s">
        <v>196</v>
      </c>
      <c r="C23" s="25" t="s">
        <v>12</v>
      </c>
      <c r="D23" s="25">
        <v>120</v>
      </c>
      <c r="E23" s="25">
        <v>4301</v>
      </c>
      <c r="F23" s="25">
        <v>4301</v>
      </c>
      <c r="G23" s="24"/>
      <c r="H23" s="24"/>
      <c r="I23" s="25"/>
      <c r="J23" s="25">
        <v>0</v>
      </c>
      <c r="K23" s="25">
        <v>0</v>
      </c>
      <c r="L23" s="25"/>
      <c r="M23" s="23"/>
      <c r="N23" s="23"/>
      <c r="O23" s="16"/>
    </row>
    <row r="24" spans="1:15" s="8" customFormat="1" ht="15.75">
      <c r="A24" s="40">
        <v>8</v>
      </c>
      <c r="B24" s="113" t="s">
        <v>197</v>
      </c>
      <c r="C24" s="25" t="s">
        <v>12</v>
      </c>
      <c r="D24" s="25">
        <v>240</v>
      </c>
      <c r="E24" s="25">
        <v>8602</v>
      </c>
      <c r="F24" s="25">
        <v>8602</v>
      </c>
      <c r="G24" s="24"/>
      <c r="H24" s="24"/>
      <c r="I24" s="25"/>
      <c r="J24" s="25">
        <v>0</v>
      </c>
      <c r="K24" s="25">
        <v>0</v>
      </c>
      <c r="L24" s="25"/>
      <c r="M24" s="23"/>
      <c r="N24" s="23"/>
      <c r="O24" s="16"/>
    </row>
    <row r="25" spans="1:15" s="8" customFormat="1" ht="15.75">
      <c r="A25" s="117">
        <v>9</v>
      </c>
      <c r="B25" s="113" t="s">
        <v>198</v>
      </c>
      <c r="C25" s="25" t="s">
        <v>12</v>
      </c>
      <c r="D25" s="25">
        <v>105</v>
      </c>
      <c r="E25" s="25">
        <v>3768</v>
      </c>
      <c r="F25" s="25">
        <v>3768</v>
      </c>
      <c r="G25" s="24"/>
      <c r="H25" s="24"/>
      <c r="I25" s="25"/>
      <c r="J25" s="25">
        <v>0</v>
      </c>
      <c r="K25" s="25">
        <v>0</v>
      </c>
      <c r="L25" s="25"/>
      <c r="M25" s="23"/>
      <c r="N25" s="23"/>
      <c r="O25" s="16"/>
    </row>
    <row r="26" spans="1:15" s="8" customFormat="1" ht="25.5">
      <c r="A26" s="117">
        <v>10</v>
      </c>
      <c r="B26" s="15" t="s">
        <v>205</v>
      </c>
      <c r="C26" s="25" t="s">
        <v>53</v>
      </c>
      <c r="D26" s="25" t="s">
        <v>53</v>
      </c>
      <c r="E26" s="25" t="s">
        <v>53</v>
      </c>
      <c r="F26" s="25" t="s">
        <v>53</v>
      </c>
      <c r="G26" s="24"/>
      <c r="H26" s="24"/>
      <c r="I26" s="25" t="s">
        <v>12</v>
      </c>
      <c r="J26" s="25">
        <v>457</v>
      </c>
      <c r="K26" s="25">
        <v>5515.353</v>
      </c>
      <c r="L26" s="25"/>
      <c r="M26" s="23"/>
      <c r="N26" s="23"/>
      <c r="O26" s="16" t="s">
        <v>231</v>
      </c>
    </row>
    <row r="27" spans="1:15" s="8" customFormat="1" ht="15.75">
      <c r="A27" s="40">
        <v>11</v>
      </c>
      <c r="B27" s="15" t="s">
        <v>206</v>
      </c>
      <c r="C27" s="25" t="s">
        <v>53</v>
      </c>
      <c r="D27" s="25" t="s">
        <v>53</v>
      </c>
      <c r="E27" s="25" t="s">
        <v>53</v>
      </c>
      <c r="F27" s="25" t="s">
        <v>53</v>
      </c>
      <c r="G27" s="24"/>
      <c r="H27" s="24"/>
      <c r="I27" s="25" t="s">
        <v>12</v>
      </c>
      <c r="J27" s="25">
        <v>72</v>
      </c>
      <c r="K27" s="25">
        <v>1258.752</v>
      </c>
      <c r="L27" s="25"/>
      <c r="M27" s="23"/>
      <c r="N27" s="23"/>
      <c r="O27" s="16" t="s">
        <v>231</v>
      </c>
    </row>
    <row r="28" spans="1:15" s="8" customFormat="1" ht="15.75">
      <c r="A28" s="40">
        <v>12</v>
      </c>
      <c r="B28" s="15" t="s">
        <v>207</v>
      </c>
      <c r="C28" s="25" t="s">
        <v>53</v>
      </c>
      <c r="D28" s="25" t="s">
        <v>53</v>
      </c>
      <c r="E28" s="25" t="s">
        <v>53</v>
      </c>
      <c r="F28" s="25" t="s">
        <v>53</v>
      </c>
      <c r="G28" s="24"/>
      <c r="H28" s="24"/>
      <c r="I28" s="25" t="s">
        <v>12</v>
      </c>
      <c r="J28" s="25">
        <v>126</v>
      </c>
      <c r="K28" s="25">
        <v>2326.635</v>
      </c>
      <c r="L28" s="25"/>
      <c r="M28" s="23"/>
      <c r="N28" s="23"/>
      <c r="O28" s="16" t="s">
        <v>231</v>
      </c>
    </row>
    <row r="29" spans="1:15" s="8" customFormat="1" ht="15.75">
      <c r="A29" s="117">
        <v>13</v>
      </c>
      <c r="B29" s="15" t="s">
        <v>208</v>
      </c>
      <c r="C29" s="25" t="s">
        <v>53</v>
      </c>
      <c r="D29" s="25" t="s">
        <v>53</v>
      </c>
      <c r="E29" s="25" t="s">
        <v>53</v>
      </c>
      <c r="F29" s="25" t="s">
        <v>53</v>
      </c>
      <c r="G29" s="24"/>
      <c r="H29" s="24"/>
      <c r="I29" s="25" t="s">
        <v>12</v>
      </c>
      <c r="J29" s="25">
        <v>61</v>
      </c>
      <c r="K29" s="25">
        <v>1071.4560000000001</v>
      </c>
      <c r="L29" s="25"/>
      <c r="M29" s="23"/>
      <c r="N29" s="23"/>
      <c r="O29" s="16" t="s">
        <v>231</v>
      </c>
    </row>
    <row r="30" spans="1:15" s="8" customFormat="1" ht="15.75">
      <c r="A30" s="117">
        <v>14</v>
      </c>
      <c r="B30" s="15" t="s">
        <v>213</v>
      </c>
      <c r="C30" s="25" t="s">
        <v>53</v>
      </c>
      <c r="D30" s="25" t="s">
        <v>53</v>
      </c>
      <c r="E30" s="25" t="s">
        <v>53</v>
      </c>
      <c r="F30" s="25" t="s">
        <v>53</v>
      </c>
      <c r="G30" s="24"/>
      <c r="H30" s="24"/>
      <c r="I30" s="25" t="s">
        <v>12</v>
      </c>
      <c r="J30" s="25">
        <v>53</v>
      </c>
      <c r="K30" s="25">
        <v>734.606</v>
      </c>
      <c r="L30" s="25"/>
      <c r="M30" s="23"/>
      <c r="N30" s="23"/>
      <c r="O30" s="16" t="s">
        <v>231</v>
      </c>
    </row>
    <row r="31" spans="1:129" s="7" customFormat="1" ht="15.75">
      <c r="A31" s="40">
        <v>15</v>
      </c>
      <c r="B31" s="15" t="s">
        <v>214</v>
      </c>
      <c r="C31" s="25" t="s">
        <v>53</v>
      </c>
      <c r="D31" s="25" t="s">
        <v>53</v>
      </c>
      <c r="E31" s="25" t="s">
        <v>53</v>
      </c>
      <c r="F31" s="25" t="s">
        <v>53</v>
      </c>
      <c r="G31" s="26"/>
      <c r="H31" s="26"/>
      <c r="I31" s="5" t="s">
        <v>12</v>
      </c>
      <c r="J31" s="114">
        <v>68</v>
      </c>
      <c r="K31" s="114">
        <v>935.1300000000001</v>
      </c>
      <c r="L31" s="25"/>
      <c r="M31" s="41"/>
      <c r="N31" s="41"/>
      <c r="O31" s="16" t="s">
        <v>231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</row>
    <row r="32" spans="1:15" s="8" customFormat="1" ht="15.75">
      <c r="A32" s="40">
        <v>16</v>
      </c>
      <c r="B32" s="15" t="s">
        <v>215</v>
      </c>
      <c r="C32" s="25" t="s">
        <v>53</v>
      </c>
      <c r="D32" s="25" t="s">
        <v>53</v>
      </c>
      <c r="E32" s="25" t="s">
        <v>53</v>
      </c>
      <c r="F32" s="25" t="s">
        <v>53</v>
      </c>
      <c r="G32" s="24"/>
      <c r="H32" s="24"/>
      <c r="I32" s="25" t="s">
        <v>12</v>
      </c>
      <c r="J32" s="25">
        <v>44</v>
      </c>
      <c r="K32" s="25">
        <v>614.292</v>
      </c>
      <c r="L32" s="25"/>
      <c r="M32" s="23"/>
      <c r="N32" s="23"/>
      <c r="O32" s="16" t="s">
        <v>231</v>
      </c>
    </row>
    <row r="33" spans="1:129" s="7" customFormat="1" ht="15.75">
      <c r="A33" s="117">
        <v>17</v>
      </c>
      <c r="B33" s="14" t="s">
        <v>216</v>
      </c>
      <c r="C33" s="25" t="s">
        <v>53</v>
      </c>
      <c r="D33" s="25" t="s">
        <v>53</v>
      </c>
      <c r="E33" s="25" t="s">
        <v>53</v>
      </c>
      <c r="F33" s="25" t="s">
        <v>53</v>
      </c>
      <c r="G33" s="26"/>
      <c r="H33" s="26"/>
      <c r="I33" s="5" t="s">
        <v>12</v>
      </c>
      <c r="J33" s="114">
        <v>116</v>
      </c>
      <c r="K33" s="114">
        <v>2778.246</v>
      </c>
      <c r="L33" s="25"/>
      <c r="M33" s="41"/>
      <c r="N33" s="41"/>
      <c r="O33" s="16" t="s">
        <v>231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</row>
    <row r="34" spans="1:15" s="8" customFormat="1" ht="15.75">
      <c r="A34" s="117">
        <v>18</v>
      </c>
      <c r="B34" s="15" t="s">
        <v>217</v>
      </c>
      <c r="C34" s="25" t="s">
        <v>53</v>
      </c>
      <c r="D34" s="25" t="s">
        <v>53</v>
      </c>
      <c r="E34" s="25" t="s">
        <v>53</v>
      </c>
      <c r="F34" s="25" t="s">
        <v>53</v>
      </c>
      <c r="G34" s="24"/>
      <c r="H34" s="24"/>
      <c r="I34" s="25" t="s">
        <v>12</v>
      </c>
      <c r="J34" s="25">
        <v>117</v>
      </c>
      <c r="K34" s="25">
        <v>1625.196</v>
      </c>
      <c r="L34" s="25"/>
      <c r="M34" s="23"/>
      <c r="N34" s="23"/>
      <c r="O34" s="16" t="s">
        <v>231</v>
      </c>
    </row>
    <row r="35" spans="1:15" s="8" customFormat="1" ht="15.75">
      <c r="A35" s="167" t="s">
        <v>82</v>
      </c>
      <c r="B35" s="168"/>
      <c r="C35" s="38"/>
      <c r="D35" s="38">
        <f>SUM(D17:D25)</f>
        <v>3013</v>
      </c>
      <c r="E35" s="38">
        <f>SUM(E17:E25)</f>
        <v>140400</v>
      </c>
      <c r="F35" s="115">
        <f>SUM(F17:F25)</f>
        <v>140400</v>
      </c>
      <c r="G35" s="118"/>
      <c r="H35" s="118"/>
      <c r="I35" s="38"/>
      <c r="J35" s="38">
        <f>SUM(J17:J34)</f>
        <v>1831</v>
      </c>
      <c r="K35" s="38">
        <f>SUM(K17:K34)</f>
        <v>65054.208</v>
      </c>
      <c r="L35" s="38"/>
      <c r="M35" s="23"/>
      <c r="N35" s="23"/>
      <c r="O35" s="16"/>
    </row>
    <row r="36" spans="1:15" s="126" customFormat="1" ht="15.75">
      <c r="A36" s="122">
        <v>2</v>
      </c>
      <c r="B36" s="123" t="s">
        <v>169</v>
      </c>
      <c r="C36" s="127"/>
      <c r="D36" s="127"/>
      <c r="E36" s="127"/>
      <c r="F36" s="121"/>
      <c r="G36" s="128"/>
      <c r="H36" s="128"/>
      <c r="I36" s="127"/>
      <c r="J36" s="127"/>
      <c r="K36" s="127"/>
      <c r="L36" s="127"/>
      <c r="M36" s="129"/>
      <c r="N36" s="129"/>
      <c r="O36" s="130"/>
    </row>
    <row r="37" spans="1:15" s="8" customFormat="1" ht="15.75">
      <c r="A37" s="73">
        <v>1</v>
      </c>
      <c r="B37" s="15" t="s">
        <v>145</v>
      </c>
      <c r="C37" s="38"/>
      <c r="D37" s="25" t="s">
        <v>53</v>
      </c>
      <c r="E37" s="25" t="s">
        <v>53</v>
      </c>
      <c r="F37" s="25" t="s">
        <v>53</v>
      </c>
      <c r="G37" s="118"/>
      <c r="H37" s="118"/>
      <c r="I37" s="25" t="s">
        <v>13</v>
      </c>
      <c r="J37" s="25">
        <v>6</v>
      </c>
      <c r="K37" s="25">
        <v>10224.5</v>
      </c>
      <c r="L37" s="38"/>
      <c r="M37" s="23"/>
      <c r="N37" s="23"/>
      <c r="O37" s="16"/>
    </row>
    <row r="38" spans="1:15" s="8" customFormat="1" ht="15.75">
      <c r="A38" s="153" t="s">
        <v>219</v>
      </c>
      <c r="B38" s="154"/>
      <c r="C38" s="38"/>
      <c r="D38" s="25"/>
      <c r="E38" s="25"/>
      <c r="F38" s="25"/>
      <c r="G38" s="118"/>
      <c r="H38" s="118"/>
      <c r="I38" s="25"/>
      <c r="J38" s="25"/>
      <c r="K38" s="38">
        <v>10224.5</v>
      </c>
      <c r="L38" s="38"/>
      <c r="M38" s="23"/>
      <c r="N38" s="23"/>
      <c r="O38" s="16"/>
    </row>
    <row r="39" spans="1:15" s="120" customFormat="1" ht="15" customHeight="1">
      <c r="A39" s="121">
        <v>3</v>
      </c>
      <c r="B39" s="164" t="s">
        <v>83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6"/>
    </row>
    <row r="40" spans="1:129" s="7" customFormat="1" ht="25.5">
      <c r="A40" s="117">
        <v>1</v>
      </c>
      <c r="B40" s="14" t="s">
        <v>185</v>
      </c>
      <c r="C40" s="25" t="s">
        <v>12</v>
      </c>
      <c r="D40" s="25">
        <v>287</v>
      </c>
      <c r="E40" s="25">
        <v>10274</v>
      </c>
      <c r="F40" s="25">
        <f>E40</f>
        <v>10274</v>
      </c>
      <c r="G40" s="26"/>
      <c r="H40" s="26"/>
      <c r="I40" s="25"/>
      <c r="J40" s="25">
        <v>0</v>
      </c>
      <c r="K40" s="25">
        <v>0</v>
      </c>
      <c r="L40" s="25"/>
      <c r="M40" s="41"/>
      <c r="N40" s="41"/>
      <c r="O40" s="41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</row>
    <row r="41" spans="1:129" s="7" customFormat="1" ht="25.5">
      <c r="A41" s="117">
        <v>2</v>
      </c>
      <c r="B41" s="14" t="s">
        <v>186</v>
      </c>
      <c r="C41" s="25" t="s">
        <v>12</v>
      </c>
      <c r="D41" s="25">
        <v>284</v>
      </c>
      <c r="E41" s="25">
        <v>10168</v>
      </c>
      <c r="F41" s="25">
        <f>E41</f>
        <v>10168</v>
      </c>
      <c r="G41" s="26"/>
      <c r="H41" s="26"/>
      <c r="I41" s="25" t="s">
        <v>12</v>
      </c>
      <c r="J41" s="25">
        <v>285</v>
      </c>
      <c r="K41" s="25">
        <v>7863.439</v>
      </c>
      <c r="L41" s="25"/>
      <c r="M41" s="41"/>
      <c r="N41" s="41"/>
      <c r="O41" s="16" t="s">
        <v>231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</row>
    <row r="42" spans="1:129" s="7" customFormat="1" ht="25.5">
      <c r="A42" s="117">
        <v>3</v>
      </c>
      <c r="B42" s="14" t="s">
        <v>187</v>
      </c>
      <c r="C42" s="25" t="s">
        <v>12</v>
      </c>
      <c r="D42" s="25">
        <v>177</v>
      </c>
      <c r="E42" s="25">
        <v>6368</v>
      </c>
      <c r="F42" s="25">
        <f>E42</f>
        <v>6368</v>
      </c>
      <c r="G42" s="26"/>
      <c r="H42" s="26"/>
      <c r="I42" s="25"/>
      <c r="J42" s="25">
        <v>0</v>
      </c>
      <c r="K42" s="25">
        <v>0</v>
      </c>
      <c r="L42" s="25"/>
      <c r="M42" s="41"/>
      <c r="N42" s="41"/>
      <c r="O42" s="41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</row>
    <row r="43" spans="1:129" s="7" customFormat="1" ht="25.5">
      <c r="A43" s="117">
        <v>4</v>
      </c>
      <c r="B43" s="14" t="s">
        <v>188</v>
      </c>
      <c r="C43" s="25" t="s">
        <v>12</v>
      </c>
      <c r="D43" s="25">
        <v>182</v>
      </c>
      <c r="E43" s="25">
        <v>6539</v>
      </c>
      <c r="F43" s="25">
        <f>E43</f>
        <v>6539</v>
      </c>
      <c r="G43" s="26"/>
      <c r="H43" s="26"/>
      <c r="I43" s="25"/>
      <c r="J43" s="25">
        <v>0</v>
      </c>
      <c r="K43" s="25">
        <v>0</v>
      </c>
      <c r="L43" s="25"/>
      <c r="M43" s="41"/>
      <c r="N43" s="41"/>
      <c r="O43" s="41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</row>
    <row r="44" spans="1:129" s="7" customFormat="1" ht="25.5">
      <c r="A44" s="117">
        <v>5</v>
      </c>
      <c r="B44" s="14" t="s">
        <v>191</v>
      </c>
      <c r="C44" s="25" t="s">
        <v>12</v>
      </c>
      <c r="D44" s="25">
        <v>199</v>
      </c>
      <c r="E44" s="25">
        <v>7139</v>
      </c>
      <c r="F44" s="25">
        <f>E44</f>
        <v>7139</v>
      </c>
      <c r="G44" s="26"/>
      <c r="H44" s="26"/>
      <c r="I44" s="25"/>
      <c r="J44" s="25">
        <v>0</v>
      </c>
      <c r="K44" s="25">
        <v>0</v>
      </c>
      <c r="L44" s="25"/>
      <c r="M44" s="41"/>
      <c r="N44" s="41"/>
      <c r="O44" s="4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</row>
    <row r="45" spans="1:129" s="7" customFormat="1" ht="25.5">
      <c r="A45" s="117">
        <v>6</v>
      </c>
      <c r="B45" s="113" t="s">
        <v>199</v>
      </c>
      <c r="C45" s="25" t="s">
        <v>12</v>
      </c>
      <c r="D45" s="1">
        <v>350</v>
      </c>
      <c r="E45" s="1">
        <v>21133</v>
      </c>
      <c r="F45" s="1">
        <v>21133</v>
      </c>
      <c r="G45" s="26"/>
      <c r="H45" s="26"/>
      <c r="I45" s="5"/>
      <c r="J45" s="25">
        <v>0</v>
      </c>
      <c r="K45" s="25">
        <v>0</v>
      </c>
      <c r="L45" s="25"/>
      <c r="M45" s="41"/>
      <c r="N45" s="41"/>
      <c r="O45" s="4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</row>
    <row r="46" spans="1:129" s="7" customFormat="1" ht="25.5">
      <c r="A46" s="117">
        <v>7</v>
      </c>
      <c r="B46" s="113" t="s">
        <v>200</v>
      </c>
      <c r="C46" s="25" t="s">
        <v>12</v>
      </c>
      <c r="D46" s="1">
        <v>195</v>
      </c>
      <c r="E46" s="1">
        <v>11785</v>
      </c>
      <c r="F46" s="1">
        <v>11785</v>
      </c>
      <c r="G46" s="26"/>
      <c r="H46" s="26"/>
      <c r="I46" s="5"/>
      <c r="J46" s="25">
        <v>0</v>
      </c>
      <c r="K46" s="25">
        <v>0</v>
      </c>
      <c r="L46" s="25"/>
      <c r="M46" s="41"/>
      <c r="N46" s="41"/>
      <c r="O46" s="4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</row>
    <row r="47" spans="1:129" s="7" customFormat="1" ht="15">
      <c r="A47" s="117">
        <v>8</v>
      </c>
      <c r="B47" s="113" t="s">
        <v>201</v>
      </c>
      <c r="C47" s="25" t="s">
        <v>12</v>
      </c>
      <c r="D47" s="1">
        <v>144</v>
      </c>
      <c r="E47" s="1">
        <v>5155</v>
      </c>
      <c r="F47" s="1">
        <v>5155</v>
      </c>
      <c r="G47" s="26"/>
      <c r="H47" s="26"/>
      <c r="I47" s="5"/>
      <c r="J47" s="25">
        <v>0</v>
      </c>
      <c r="K47" s="25">
        <v>0</v>
      </c>
      <c r="L47" s="25"/>
      <c r="M47" s="41"/>
      <c r="N47" s="41"/>
      <c r="O47" s="4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</row>
    <row r="48" spans="1:129" s="7" customFormat="1" ht="15">
      <c r="A48" s="117">
        <v>9</v>
      </c>
      <c r="B48" s="113" t="s">
        <v>202</v>
      </c>
      <c r="C48" s="25" t="s">
        <v>12</v>
      </c>
      <c r="D48" s="1">
        <v>62</v>
      </c>
      <c r="E48" s="1">
        <v>2383</v>
      </c>
      <c r="F48" s="1">
        <v>2383</v>
      </c>
      <c r="G48" s="26"/>
      <c r="H48" s="26"/>
      <c r="I48" s="5"/>
      <c r="J48" s="25">
        <v>0</v>
      </c>
      <c r="K48" s="25">
        <v>0</v>
      </c>
      <c r="L48" s="25"/>
      <c r="M48" s="41"/>
      <c r="N48" s="41"/>
      <c r="O48" s="4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</row>
    <row r="49" spans="1:129" s="7" customFormat="1" ht="15">
      <c r="A49" s="117">
        <v>10</v>
      </c>
      <c r="B49" s="113" t="s">
        <v>203</v>
      </c>
      <c r="C49" s="25" t="s">
        <v>12</v>
      </c>
      <c r="D49" s="1">
        <v>106</v>
      </c>
      <c r="E49" s="1">
        <v>3803</v>
      </c>
      <c r="F49" s="1">
        <v>3803</v>
      </c>
      <c r="G49" s="26"/>
      <c r="H49" s="26"/>
      <c r="I49" s="5"/>
      <c r="J49" s="25">
        <v>0</v>
      </c>
      <c r="K49" s="25">
        <v>0</v>
      </c>
      <c r="L49" s="25"/>
      <c r="M49" s="41"/>
      <c r="N49" s="41"/>
      <c r="O49" s="4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</row>
    <row r="50" spans="1:129" s="7" customFormat="1" ht="15.75">
      <c r="A50" s="117">
        <v>11</v>
      </c>
      <c r="B50" s="15" t="s">
        <v>209</v>
      </c>
      <c r="C50" s="25" t="s">
        <v>53</v>
      </c>
      <c r="D50" s="25" t="s">
        <v>53</v>
      </c>
      <c r="E50" s="25" t="s">
        <v>53</v>
      </c>
      <c r="F50" s="25" t="s">
        <v>53</v>
      </c>
      <c r="G50" s="26"/>
      <c r="H50" s="26"/>
      <c r="I50" s="5" t="s">
        <v>12</v>
      </c>
      <c r="J50" s="114">
        <v>100</v>
      </c>
      <c r="K50" s="114">
        <v>3035.2839999999997</v>
      </c>
      <c r="L50" s="25"/>
      <c r="M50" s="41"/>
      <c r="N50" s="41"/>
      <c r="O50" s="16" t="s">
        <v>231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</row>
    <row r="51" spans="1:129" s="7" customFormat="1" ht="15.75">
      <c r="A51" s="117">
        <v>12</v>
      </c>
      <c r="B51" s="15" t="s">
        <v>212</v>
      </c>
      <c r="C51" s="25" t="s">
        <v>53</v>
      </c>
      <c r="D51" s="25" t="s">
        <v>53</v>
      </c>
      <c r="E51" s="25" t="s">
        <v>53</v>
      </c>
      <c r="F51" s="25" t="s">
        <v>53</v>
      </c>
      <c r="G51" s="26"/>
      <c r="H51" s="26"/>
      <c r="I51" s="5" t="s">
        <v>12</v>
      </c>
      <c r="J51" s="114">
        <v>44</v>
      </c>
      <c r="K51" s="114">
        <v>1390.377</v>
      </c>
      <c r="L51" s="25"/>
      <c r="M51" s="41"/>
      <c r="N51" s="41"/>
      <c r="O51" s="16" t="s">
        <v>231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</row>
    <row r="52" spans="1:129" s="7" customFormat="1" ht="15.75">
      <c r="A52" s="117">
        <v>13</v>
      </c>
      <c r="B52" s="15" t="s">
        <v>210</v>
      </c>
      <c r="C52" s="25" t="s">
        <v>53</v>
      </c>
      <c r="D52" s="25" t="s">
        <v>53</v>
      </c>
      <c r="E52" s="25" t="s">
        <v>53</v>
      </c>
      <c r="F52" s="25" t="s">
        <v>53</v>
      </c>
      <c r="G52" s="26"/>
      <c r="H52" s="26"/>
      <c r="I52" s="5" t="s">
        <v>12</v>
      </c>
      <c r="J52" s="114">
        <v>295</v>
      </c>
      <c r="K52" s="114">
        <v>4084.113</v>
      </c>
      <c r="L52" s="25"/>
      <c r="M52" s="41"/>
      <c r="N52" s="41"/>
      <c r="O52" s="16" t="s">
        <v>231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</row>
    <row r="53" spans="1:129" s="7" customFormat="1" ht="15.75">
      <c r="A53" s="117">
        <v>14</v>
      </c>
      <c r="B53" s="15" t="s">
        <v>211</v>
      </c>
      <c r="C53" s="25" t="s">
        <v>53</v>
      </c>
      <c r="D53" s="25" t="s">
        <v>53</v>
      </c>
      <c r="E53" s="25" t="s">
        <v>53</v>
      </c>
      <c r="F53" s="25" t="s">
        <v>53</v>
      </c>
      <c r="G53" s="26"/>
      <c r="H53" s="26"/>
      <c r="I53" s="5" t="s">
        <v>12</v>
      </c>
      <c r="J53" s="114">
        <v>125</v>
      </c>
      <c r="K53" s="114">
        <v>3723.667</v>
      </c>
      <c r="L53" s="25"/>
      <c r="M53" s="41"/>
      <c r="N53" s="41"/>
      <c r="O53" s="16" t="s">
        <v>231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</row>
    <row r="54" spans="1:129" s="7" customFormat="1" ht="25.5">
      <c r="A54" s="117">
        <v>17</v>
      </c>
      <c r="B54" s="14" t="s">
        <v>218</v>
      </c>
      <c r="C54" s="25" t="s">
        <v>53</v>
      </c>
      <c r="D54" s="25" t="s">
        <v>53</v>
      </c>
      <c r="E54" s="25" t="s">
        <v>53</v>
      </c>
      <c r="F54" s="25" t="s">
        <v>53</v>
      </c>
      <c r="G54" s="26"/>
      <c r="H54" s="26"/>
      <c r="I54" s="5" t="s">
        <v>12</v>
      </c>
      <c r="J54" s="114">
        <v>18</v>
      </c>
      <c r="K54" s="114">
        <v>226.54</v>
      </c>
      <c r="L54" s="25"/>
      <c r="M54" s="41"/>
      <c r="N54" s="41"/>
      <c r="O54" s="16" t="s">
        <v>231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</row>
    <row r="55" spans="1:129" s="7" customFormat="1" ht="14.25">
      <c r="A55" s="169" t="s">
        <v>84</v>
      </c>
      <c r="B55" s="170"/>
      <c r="C55" s="32" t="s">
        <v>12</v>
      </c>
      <c r="D55" s="38">
        <f>SUM(D40:D49)</f>
        <v>1986</v>
      </c>
      <c r="E55" s="38">
        <f>SUM(E40:E49)</f>
        <v>84747</v>
      </c>
      <c r="F55" s="38">
        <f>E55</f>
        <v>84747</v>
      </c>
      <c r="G55" s="32"/>
      <c r="H55" s="42"/>
      <c r="I55" s="38"/>
      <c r="J55" s="38">
        <f>SUM(J40:J54)</f>
        <v>867</v>
      </c>
      <c r="K55" s="38">
        <f>SUM(K40:K54)</f>
        <v>20323.420000000002</v>
      </c>
      <c r="L55" s="38"/>
      <c r="M55" s="41"/>
      <c r="N55" s="41"/>
      <c r="O55" s="41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</row>
    <row r="56" spans="1:129" s="7" customFormat="1" ht="14.25">
      <c r="A56" s="124"/>
      <c r="B56" s="125"/>
      <c r="C56" s="32"/>
      <c r="D56" s="38"/>
      <c r="E56" s="38"/>
      <c r="F56" s="38"/>
      <c r="G56" s="32"/>
      <c r="H56" s="42"/>
      <c r="I56" s="38"/>
      <c r="J56" s="38"/>
      <c r="K56" s="38"/>
      <c r="L56" s="38"/>
      <c r="M56" s="41"/>
      <c r="N56" s="41"/>
      <c r="O56" s="41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</row>
    <row r="57" spans="1:129" s="141" customFormat="1" ht="14.25">
      <c r="A57" s="135">
        <v>4</v>
      </c>
      <c r="B57" s="136" t="s">
        <v>169</v>
      </c>
      <c r="C57" s="137"/>
      <c r="D57" s="127"/>
      <c r="E57" s="127"/>
      <c r="F57" s="127"/>
      <c r="G57" s="137"/>
      <c r="H57" s="138"/>
      <c r="I57" s="127"/>
      <c r="J57" s="127"/>
      <c r="K57" s="127"/>
      <c r="L57" s="127"/>
      <c r="M57" s="139"/>
      <c r="N57" s="139"/>
      <c r="O57" s="139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  <c r="DW57" s="140"/>
      <c r="DX57" s="140"/>
      <c r="DY57" s="140"/>
    </row>
    <row r="58" spans="1:129" s="7" customFormat="1" ht="15.75">
      <c r="A58" s="67">
        <v>1</v>
      </c>
      <c r="B58" s="15" t="s">
        <v>220</v>
      </c>
      <c r="C58" s="25" t="s">
        <v>53</v>
      </c>
      <c r="D58" s="25" t="s">
        <v>53</v>
      </c>
      <c r="E58" s="25" t="s">
        <v>53</v>
      </c>
      <c r="F58" s="25" t="s">
        <v>53</v>
      </c>
      <c r="G58" s="32"/>
      <c r="H58" s="42"/>
      <c r="I58" s="25" t="s">
        <v>111</v>
      </c>
      <c r="J58" s="25">
        <v>1</v>
      </c>
      <c r="K58" s="25">
        <v>632.714</v>
      </c>
      <c r="L58" s="38"/>
      <c r="M58" s="41"/>
      <c r="N58" s="41"/>
      <c r="O58" s="16" t="s">
        <v>231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</row>
    <row r="59" spans="1:129" s="7" customFormat="1" ht="15.75">
      <c r="A59" s="67">
        <v>2</v>
      </c>
      <c r="B59" s="15" t="s">
        <v>221</v>
      </c>
      <c r="C59" s="25" t="s">
        <v>53</v>
      </c>
      <c r="D59" s="25" t="s">
        <v>53</v>
      </c>
      <c r="E59" s="25" t="s">
        <v>53</v>
      </c>
      <c r="F59" s="25" t="s">
        <v>53</v>
      </c>
      <c r="G59" s="32"/>
      <c r="H59" s="42"/>
      <c r="I59" s="25" t="s">
        <v>111</v>
      </c>
      <c r="J59" s="25">
        <v>1</v>
      </c>
      <c r="K59" s="25">
        <v>1169.8990000000001</v>
      </c>
      <c r="L59" s="38"/>
      <c r="M59" s="41"/>
      <c r="N59" s="41"/>
      <c r="O59" s="16" t="s">
        <v>231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</row>
    <row r="60" spans="1:129" s="7" customFormat="1" ht="25.5">
      <c r="A60" s="67">
        <v>3</v>
      </c>
      <c r="B60" s="15" t="s">
        <v>222</v>
      </c>
      <c r="C60" s="25" t="s">
        <v>53</v>
      </c>
      <c r="D60" s="25" t="s">
        <v>53</v>
      </c>
      <c r="E60" s="25" t="s">
        <v>53</v>
      </c>
      <c r="F60" s="25" t="s">
        <v>53</v>
      </c>
      <c r="G60" s="32"/>
      <c r="H60" s="42"/>
      <c r="I60" s="25" t="s">
        <v>111</v>
      </c>
      <c r="J60" s="25">
        <v>1</v>
      </c>
      <c r="K60" s="25">
        <v>1161.187</v>
      </c>
      <c r="L60" s="38"/>
      <c r="M60" s="41"/>
      <c r="N60" s="41"/>
      <c r="O60" s="16" t="s">
        <v>231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</row>
    <row r="61" spans="1:129" s="7" customFormat="1" ht="25.5">
      <c r="A61" s="67">
        <v>4</v>
      </c>
      <c r="B61" s="15" t="s">
        <v>223</v>
      </c>
      <c r="C61" s="25" t="s">
        <v>53</v>
      </c>
      <c r="D61" s="25" t="s">
        <v>53</v>
      </c>
      <c r="E61" s="25" t="s">
        <v>53</v>
      </c>
      <c r="F61" s="25" t="s">
        <v>53</v>
      </c>
      <c r="G61" s="32"/>
      <c r="H61" s="42"/>
      <c r="I61" s="25" t="s">
        <v>111</v>
      </c>
      <c r="J61" s="25">
        <v>1</v>
      </c>
      <c r="K61" s="25">
        <v>243.589</v>
      </c>
      <c r="L61" s="38"/>
      <c r="M61" s="41"/>
      <c r="N61" s="41"/>
      <c r="O61" s="16" t="s">
        <v>231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</row>
    <row r="62" spans="1:129" s="7" customFormat="1" ht="15.75">
      <c r="A62" s="67">
        <v>5</v>
      </c>
      <c r="B62" s="15" t="s">
        <v>224</v>
      </c>
      <c r="C62" s="25" t="s">
        <v>53</v>
      </c>
      <c r="D62" s="25" t="s">
        <v>53</v>
      </c>
      <c r="E62" s="25" t="s">
        <v>53</v>
      </c>
      <c r="F62" s="25" t="s">
        <v>53</v>
      </c>
      <c r="G62" s="32"/>
      <c r="H62" s="42"/>
      <c r="I62" s="25" t="s">
        <v>111</v>
      </c>
      <c r="J62" s="25">
        <v>1</v>
      </c>
      <c r="K62" s="25">
        <v>659.0360000000001</v>
      </c>
      <c r="L62" s="38"/>
      <c r="M62" s="41"/>
      <c r="N62" s="41"/>
      <c r="O62" s="16" t="s">
        <v>231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</row>
    <row r="63" spans="1:129" s="7" customFormat="1" ht="15.75">
      <c r="A63" s="67">
        <v>6</v>
      </c>
      <c r="B63" s="15" t="s">
        <v>225</v>
      </c>
      <c r="C63" s="25" t="s">
        <v>53</v>
      </c>
      <c r="D63" s="25" t="s">
        <v>53</v>
      </c>
      <c r="E63" s="25" t="s">
        <v>53</v>
      </c>
      <c r="F63" s="25" t="s">
        <v>53</v>
      </c>
      <c r="G63" s="32"/>
      <c r="H63" s="42"/>
      <c r="I63" s="25" t="s">
        <v>111</v>
      </c>
      <c r="J63" s="25">
        <v>1</v>
      </c>
      <c r="K63" s="25">
        <v>2039.225</v>
      </c>
      <c r="L63" s="38"/>
      <c r="M63" s="41"/>
      <c r="N63" s="41"/>
      <c r="O63" s="16" t="s">
        <v>231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</row>
    <row r="64" spans="1:129" s="7" customFormat="1" ht="15.75">
      <c r="A64" s="67">
        <v>7</v>
      </c>
      <c r="B64" s="15" t="s">
        <v>226</v>
      </c>
      <c r="C64" s="25" t="s">
        <v>53</v>
      </c>
      <c r="D64" s="25" t="s">
        <v>53</v>
      </c>
      <c r="E64" s="25" t="s">
        <v>53</v>
      </c>
      <c r="F64" s="25" t="s">
        <v>53</v>
      </c>
      <c r="G64" s="32"/>
      <c r="H64" s="42"/>
      <c r="I64" s="25" t="s">
        <v>111</v>
      </c>
      <c r="J64" s="25">
        <v>1</v>
      </c>
      <c r="K64" s="25">
        <v>3630.918</v>
      </c>
      <c r="L64" s="38"/>
      <c r="M64" s="41"/>
      <c r="N64" s="41"/>
      <c r="O64" s="16" t="s">
        <v>231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</row>
    <row r="65" spans="1:129" s="7" customFormat="1" ht="14.25">
      <c r="A65" s="151" t="s">
        <v>219</v>
      </c>
      <c r="B65" s="152"/>
      <c r="C65" s="32"/>
      <c r="D65" s="38"/>
      <c r="E65" s="38"/>
      <c r="F65" s="38"/>
      <c r="G65" s="32"/>
      <c r="H65" s="42"/>
      <c r="I65" s="25"/>
      <c r="J65" s="25"/>
      <c r="K65" s="38">
        <f>SUM(K58:K64)</f>
        <v>9536.568</v>
      </c>
      <c r="L65" s="38"/>
      <c r="M65" s="41"/>
      <c r="N65" s="41"/>
      <c r="O65" s="41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</row>
    <row r="66" spans="1:129" s="7" customFormat="1" ht="14.25">
      <c r="A66" s="132"/>
      <c r="B66" s="134"/>
      <c r="C66" s="32"/>
      <c r="D66" s="38"/>
      <c r="E66" s="38"/>
      <c r="F66" s="38"/>
      <c r="G66" s="32"/>
      <c r="H66" s="42"/>
      <c r="I66" s="25"/>
      <c r="J66" s="25"/>
      <c r="K66" s="38"/>
      <c r="L66" s="38"/>
      <c r="M66" s="41"/>
      <c r="N66" s="41"/>
      <c r="O66" s="41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</row>
    <row r="67" spans="1:129" s="7" customFormat="1" ht="14.25">
      <c r="A67" s="37"/>
      <c r="B67" s="133"/>
      <c r="C67" s="25"/>
      <c r="D67" s="25"/>
      <c r="E67" s="25"/>
      <c r="F67" s="25"/>
      <c r="G67" s="32"/>
      <c r="H67" s="42"/>
      <c r="I67" s="25"/>
      <c r="J67" s="25"/>
      <c r="K67" s="38"/>
      <c r="L67" s="38"/>
      <c r="M67" s="41"/>
      <c r="N67" s="41"/>
      <c r="O67" s="4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</row>
    <row r="68" spans="1:15" ht="15">
      <c r="A68" s="19"/>
      <c r="B68" s="111" t="s">
        <v>36</v>
      </c>
      <c r="C68" s="20"/>
      <c r="D68" s="20"/>
      <c r="E68" s="110">
        <f>E35+E55</f>
        <v>225147</v>
      </c>
      <c r="F68" s="110"/>
      <c r="G68" s="110"/>
      <c r="H68" s="110"/>
      <c r="I68" s="20"/>
      <c r="J68" s="20"/>
      <c r="K68" s="110">
        <f>K65+K55+K38+K35</f>
        <v>105138.696</v>
      </c>
      <c r="L68" s="110"/>
      <c r="M68" s="110"/>
      <c r="N68" s="110"/>
      <c r="O68" s="19"/>
    </row>
    <row r="69" spans="1:15" ht="15">
      <c r="A69" s="35"/>
      <c r="B69" s="35" t="s">
        <v>18</v>
      </c>
      <c r="C69" s="34"/>
      <c r="D69" s="34"/>
      <c r="E69" s="110"/>
      <c r="F69" s="110"/>
      <c r="G69" s="110"/>
      <c r="H69" s="110"/>
      <c r="I69" s="34"/>
      <c r="J69" s="34"/>
      <c r="K69" s="110"/>
      <c r="L69" s="110"/>
      <c r="M69" s="110"/>
      <c r="N69" s="110"/>
      <c r="O69" s="35"/>
    </row>
    <row r="70" spans="1:16" ht="15">
      <c r="A70" s="19"/>
      <c r="B70" s="19" t="s">
        <v>19</v>
      </c>
      <c r="C70" s="20"/>
      <c r="D70" s="20"/>
      <c r="E70" s="110">
        <f>E68</f>
        <v>225147</v>
      </c>
      <c r="F70" s="110">
        <f>E68</f>
        <v>225147</v>
      </c>
      <c r="G70" s="110"/>
      <c r="H70" s="110"/>
      <c r="I70" s="20"/>
      <c r="J70" s="20"/>
      <c r="K70" s="110"/>
      <c r="L70" s="112"/>
      <c r="M70" s="110"/>
      <c r="N70" s="110"/>
      <c r="O70" s="19"/>
      <c r="P70" s="119"/>
    </row>
    <row r="71" spans="1:16" ht="15">
      <c r="A71" s="82"/>
      <c r="B71" s="82" t="s">
        <v>20</v>
      </c>
      <c r="C71" s="83"/>
      <c r="D71" s="83"/>
      <c r="E71" s="110"/>
      <c r="F71" s="110"/>
      <c r="G71" s="110"/>
      <c r="H71" s="110"/>
      <c r="I71" s="83"/>
      <c r="J71" s="83"/>
      <c r="K71" s="110"/>
      <c r="L71" s="110"/>
      <c r="M71" s="110"/>
      <c r="N71" s="110"/>
      <c r="O71" s="82"/>
      <c r="P71" s="119"/>
    </row>
    <row r="72" spans="1:16" ht="15">
      <c r="A72" s="82"/>
      <c r="B72" s="82" t="s">
        <v>8</v>
      </c>
      <c r="C72" s="83"/>
      <c r="D72" s="83"/>
      <c r="E72" s="110"/>
      <c r="F72" s="110"/>
      <c r="G72" s="110"/>
      <c r="H72" s="110"/>
      <c r="I72" s="83"/>
      <c r="J72" s="83"/>
      <c r="K72" s="110"/>
      <c r="L72" s="110"/>
      <c r="M72" s="110"/>
      <c r="N72" s="110"/>
      <c r="O72" s="82"/>
      <c r="P72" s="119"/>
    </row>
    <row r="73" spans="1:16" ht="15">
      <c r="A73" s="19"/>
      <c r="B73" s="19" t="s">
        <v>9</v>
      </c>
      <c r="C73" s="20"/>
      <c r="D73" s="20"/>
      <c r="E73" s="110">
        <f>E35</f>
        <v>140400</v>
      </c>
      <c r="F73" s="110">
        <f>E73</f>
        <v>140400</v>
      </c>
      <c r="G73" s="110"/>
      <c r="H73" s="110"/>
      <c r="I73" s="20"/>
      <c r="J73" s="20"/>
      <c r="K73" s="110">
        <f>K35+K38</f>
        <v>75278.708</v>
      </c>
      <c r="L73" s="110"/>
      <c r="M73" s="110"/>
      <c r="N73" s="110"/>
      <c r="O73" s="19"/>
      <c r="P73" s="119"/>
    </row>
    <row r="74" spans="1:16" ht="15">
      <c r="A74" s="19"/>
      <c r="B74" s="19" t="s">
        <v>10</v>
      </c>
      <c r="C74" s="20"/>
      <c r="D74" s="20"/>
      <c r="E74" s="110">
        <f>E55</f>
        <v>84747</v>
      </c>
      <c r="F74" s="112">
        <f>F55</f>
        <v>84747</v>
      </c>
      <c r="G74" s="110"/>
      <c r="H74" s="110"/>
      <c r="I74" s="20"/>
      <c r="J74" s="20"/>
      <c r="K74" s="110">
        <f>K65+K55</f>
        <v>29859.988</v>
      </c>
      <c r="L74" s="110"/>
      <c r="M74" s="110"/>
      <c r="N74" s="110"/>
      <c r="O74" s="19"/>
      <c r="P74" s="119"/>
    </row>
    <row r="75" spans="1:15" ht="1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">
      <c r="A76"/>
      <c r="B76" s="43"/>
      <c r="C76" s="43"/>
      <c r="D76" s="43"/>
      <c r="E76" s="43"/>
      <c r="F76" s="43"/>
      <c r="G76" s="43"/>
      <c r="H76" s="43"/>
      <c r="I76" s="109"/>
      <c r="J76"/>
      <c r="K76"/>
      <c r="L76" s="119"/>
      <c r="M76"/>
      <c r="N76"/>
      <c r="O76"/>
    </row>
    <row r="77" spans="1:15" ht="14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4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4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4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4.25" customHeight="1" hidden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4" s="22" customFormat="1" ht="15" hidden="1">
      <c r="A84" s="50"/>
      <c r="B84" s="50"/>
      <c r="C84" s="50"/>
      <c r="D84" s="49"/>
    </row>
    <row r="85" spans="1:4" s="22" customFormat="1" ht="15" hidden="1">
      <c r="A85" s="50"/>
      <c r="B85" s="50"/>
      <c r="C85" s="50"/>
      <c r="D85" s="49"/>
    </row>
    <row r="86" spans="1:15" ht="27.75" customHeight="1" hidden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4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4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4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4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5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5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5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5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13" s="7" customFormat="1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</row>
    <row r="121" spans="1:113" s="7" customFormat="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</row>
    <row r="122" spans="1:113" s="7" customFormat="1" ht="18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</row>
    <row r="123" spans="1:15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4.2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4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5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5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5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13" s="7" customFormat="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</row>
    <row r="142" spans="1:113" s="7" customFormat="1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</row>
    <row r="143" spans="1:113" s="7" customFormat="1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</row>
    <row r="144" spans="1:113" s="7" customFormat="1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</row>
    <row r="145" spans="1:113" s="7" customFormat="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</row>
    <row r="146" spans="1:113" s="7" customFormat="1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</row>
    <row r="147" spans="1:113" s="7" customFormat="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</row>
    <row r="148" spans="1:113" s="7" customFormat="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</row>
    <row r="149" spans="1:113" s="7" customFormat="1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</row>
    <row r="151" spans="1:129" s="7" customFormat="1" ht="25.5" customHeight="1">
      <c r="A151" s="8"/>
      <c r="B151" s="13"/>
      <c r="C151" s="8"/>
      <c r="D151" s="8"/>
      <c r="E151" s="8"/>
      <c r="F151" s="8"/>
      <c r="G151" s="8"/>
      <c r="H151" s="1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</row>
    <row r="152" spans="1:129" s="7" customFormat="1" ht="12.75" customHeight="1">
      <c r="A152" s="8"/>
      <c r="B152" s="8"/>
      <c r="C152" s="8"/>
      <c r="D152" s="8"/>
      <c r="E152" s="8"/>
      <c r="F152" s="8"/>
      <c r="G152" s="8"/>
      <c r="H152" s="39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</row>
  </sheetData>
  <sheetProtection/>
  <mergeCells count="26">
    <mergeCell ref="B16:O16"/>
    <mergeCell ref="B39:O39"/>
    <mergeCell ref="A35:B35"/>
    <mergeCell ref="A55:B55"/>
    <mergeCell ref="K10:K11"/>
    <mergeCell ref="L10:O10"/>
    <mergeCell ref="A12:O12"/>
    <mergeCell ref="A13:B13"/>
    <mergeCell ref="E10:E11"/>
    <mergeCell ref="F10:H10"/>
    <mergeCell ref="N1:O1"/>
    <mergeCell ref="A4:O4"/>
    <mergeCell ref="A5:O5"/>
    <mergeCell ref="A6:O6"/>
    <mergeCell ref="A7:O7"/>
    <mergeCell ref="L2:O3"/>
    <mergeCell ref="A65:B65"/>
    <mergeCell ref="A38:B38"/>
    <mergeCell ref="A9:A11"/>
    <mergeCell ref="J10:J11"/>
    <mergeCell ref="I9:O9"/>
    <mergeCell ref="I10:I11"/>
    <mergeCell ref="C9:H9"/>
    <mergeCell ref="C10:C11"/>
    <mergeCell ref="B9:B11"/>
    <mergeCell ref="D10:D11"/>
  </mergeCells>
  <printOptions/>
  <pageMargins left="0.3937007874015748" right="0.3937007874015748" top="0.3937007874015748" bottom="0.5905511811023623" header="0.31496062992125984" footer="0.31496062992125984"/>
  <pageSetup horizontalDpi="600" verticalDpi="600" orientation="landscape" paperSize="9" scale="75" r:id="rId1"/>
  <rowBreaks count="2" manualBreakCount="2">
    <brk id="38" max="15" man="1"/>
    <brk id="7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23"/>
  <sheetViews>
    <sheetView zoomScalePageLayoutView="0" workbookViewId="0" topLeftCell="A67">
      <selection activeCell="E24" sqref="E24"/>
    </sheetView>
  </sheetViews>
  <sheetFormatPr defaultColWidth="9.140625" defaultRowHeight="15"/>
  <cols>
    <col min="1" max="1" width="3.7109375" style="43" customWidth="1"/>
    <col min="2" max="2" width="48.00390625" style="43" customWidth="1"/>
    <col min="3" max="3" width="5.28125" style="43" customWidth="1"/>
    <col min="4" max="4" width="11.7109375" style="43" customWidth="1"/>
    <col min="5" max="5" width="14.28125" style="43" customWidth="1"/>
    <col min="6" max="6" width="12.140625" style="43" customWidth="1"/>
    <col min="7" max="8" width="11.7109375" style="43" customWidth="1"/>
    <col min="9" max="9" width="24.57421875" style="43" customWidth="1"/>
  </cols>
  <sheetData>
    <row r="1" spans="1:9" ht="15">
      <c r="A1" s="56"/>
      <c r="B1" s="56"/>
      <c r="C1" s="56"/>
      <c r="D1" s="56"/>
      <c r="E1" s="56"/>
      <c r="F1" s="56"/>
      <c r="G1" s="57"/>
      <c r="H1" s="147" t="s">
        <v>28</v>
      </c>
      <c r="I1" s="147"/>
    </row>
    <row r="2" spans="7:9" ht="15">
      <c r="G2" s="148" t="s">
        <v>166</v>
      </c>
      <c r="H2" s="148"/>
      <c r="I2" s="148"/>
    </row>
    <row r="3" spans="7:9" ht="15">
      <c r="G3" s="148"/>
      <c r="H3" s="148"/>
      <c r="I3" s="148"/>
    </row>
    <row r="4" spans="7:9" ht="15">
      <c r="G4" s="148"/>
      <c r="H4" s="148"/>
      <c r="I4" s="148"/>
    </row>
    <row r="5" spans="1:9" ht="15">
      <c r="A5" s="149" t="s">
        <v>0</v>
      </c>
      <c r="B5" s="149"/>
      <c r="C5" s="149"/>
      <c r="D5" s="149"/>
      <c r="E5" s="149"/>
      <c r="F5" s="149"/>
      <c r="G5" s="149"/>
      <c r="H5" s="149"/>
      <c r="I5" s="149"/>
    </row>
    <row r="6" spans="1:9" ht="15">
      <c r="A6" s="149" t="s">
        <v>183</v>
      </c>
      <c r="B6" s="149"/>
      <c r="C6" s="149"/>
      <c r="D6" s="149"/>
      <c r="E6" s="149"/>
      <c r="F6" s="149"/>
      <c r="G6" s="149"/>
      <c r="H6" s="149"/>
      <c r="I6" s="149"/>
    </row>
    <row r="7" spans="1:9" ht="15">
      <c r="A7" s="150" t="s">
        <v>184</v>
      </c>
      <c r="B7" s="150"/>
      <c r="C7" s="150"/>
      <c r="D7" s="150"/>
      <c r="E7" s="150"/>
      <c r="F7" s="150"/>
      <c r="G7" s="150"/>
      <c r="H7" s="150"/>
      <c r="I7" s="150"/>
    </row>
    <row r="8" spans="1:9" ht="15">
      <c r="A8" s="145" t="s">
        <v>29</v>
      </c>
      <c r="B8" s="145"/>
      <c r="C8" s="145"/>
      <c r="D8" s="145"/>
      <c r="E8" s="145"/>
      <c r="F8" s="145"/>
      <c r="G8" s="145"/>
      <c r="H8" s="145"/>
      <c r="I8" s="145"/>
    </row>
    <row r="9" spans="1:9" ht="15">
      <c r="A9" s="58"/>
      <c r="B9" s="58"/>
      <c r="C9" s="58"/>
      <c r="D9" s="58"/>
      <c r="E9" s="58"/>
      <c r="F9" s="58"/>
      <c r="G9" s="58"/>
      <c r="H9" s="58"/>
      <c r="I9" s="58"/>
    </row>
    <row r="10" spans="1:9" ht="15">
      <c r="A10" s="146" t="s">
        <v>2</v>
      </c>
      <c r="B10" s="143" t="s">
        <v>26</v>
      </c>
      <c r="C10" s="146" t="s">
        <v>3</v>
      </c>
      <c r="D10" s="146" t="s">
        <v>4</v>
      </c>
      <c r="E10" s="146" t="s">
        <v>27</v>
      </c>
      <c r="F10" s="143" t="s">
        <v>5</v>
      </c>
      <c r="G10" s="143"/>
      <c r="H10" s="143"/>
      <c r="I10" s="143"/>
    </row>
    <row r="11" spans="1:9" ht="38.25">
      <c r="A11" s="146"/>
      <c r="B11" s="143"/>
      <c r="C11" s="146"/>
      <c r="D11" s="146"/>
      <c r="E11" s="146"/>
      <c r="F11" s="87" t="s">
        <v>6</v>
      </c>
      <c r="G11" s="87" t="s">
        <v>7</v>
      </c>
      <c r="H11" s="87" t="s">
        <v>8</v>
      </c>
      <c r="I11" s="85" t="s">
        <v>25</v>
      </c>
    </row>
    <row r="12" spans="1:9" ht="15">
      <c r="A12" s="87">
        <v>1</v>
      </c>
      <c r="B12" s="85">
        <v>2</v>
      </c>
      <c r="C12" s="87">
        <v>3</v>
      </c>
      <c r="D12" s="87">
        <v>4</v>
      </c>
      <c r="E12" s="87">
        <v>5</v>
      </c>
      <c r="F12" s="87">
        <v>6</v>
      </c>
      <c r="G12" s="87">
        <v>7</v>
      </c>
      <c r="H12" s="87">
        <v>8</v>
      </c>
      <c r="I12" s="85">
        <v>9</v>
      </c>
    </row>
    <row r="13" spans="1:9" ht="15">
      <c r="A13" s="143" t="s">
        <v>30</v>
      </c>
      <c r="B13" s="143"/>
      <c r="C13" s="143"/>
      <c r="D13" s="143"/>
      <c r="E13" s="143"/>
      <c r="F13" s="143"/>
      <c r="G13" s="143"/>
      <c r="H13" s="143"/>
      <c r="I13" s="143"/>
    </row>
    <row r="14" spans="1:9" ht="15">
      <c r="A14" s="142" t="s">
        <v>31</v>
      </c>
      <c r="B14" s="142"/>
      <c r="C14" s="1"/>
      <c r="D14" s="1"/>
      <c r="E14" s="87">
        <f>E134</f>
        <v>239355.78557142857</v>
      </c>
      <c r="F14" s="87">
        <f>E14</f>
        <v>239355.78557142857</v>
      </c>
      <c r="G14" s="87"/>
      <c r="H14" s="87"/>
      <c r="I14" s="84"/>
    </row>
    <row r="15" spans="1:9" ht="15">
      <c r="A15" s="87"/>
      <c r="B15" s="84" t="s">
        <v>9</v>
      </c>
      <c r="C15" s="1"/>
      <c r="D15" s="1"/>
      <c r="E15" s="1">
        <f>E137</f>
        <v>132950</v>
      </c>
      <c r="F15" s="1">
        <f>E15</f>
        <v>132950</v>
      </c>
      <c r="G15" s="87"/>
      <c r="H15" s="87"/>
      <c r="I15" s="3"/>
    </row>
    <row r="16" spans="1:9" ht="15">
      <c r="A16" s="87"/>
      <c r="B16" s="84" t="s">
        <v>10</v>
      </c>
      <c r="C16" s="1"/>
      <c r="D16" s="1"/>
      <c r="E16" s="1">
        <f>E138</f>
        <v>106406</v>
      </c>
      <c r="F16" s="1">
        <f>E16</f>
        <v>106406</v>
      </c>
      <c r="G16" s="87"/>
      <c r="H16" s="87"/>
      <c r="I16" s="3"/>
    </row>
    <row r="17" spans="1:9" ht="15">
      <c r="A17" s="59">
        <v>1</v>
      </c>
      <c r="B17" s="142" t="s">
        <v>81</v>
      </c>
      <c r="C17" s="142"/>
      <c r="D17" s="142"/>
      <c r="E17" s="142"/>
      <c r="F17" s="142"/>
      <c r="G17" s="142"/>
      <c r="H17" s="142"/>
      <c r="I17" s="142"/>
    </row>
    <row r="18" spans="1:9" ht="15">
      <c r="A18" s="88">
        <v>1</v>
      </c>
      <c r="B18" s="89" t="s">
        <v>60</v>
      </c>
      <c r="C18" s="90" t="s">
        <v>12</v>
      </c>
      <c r="D18" s="91">
        <v>85</v>
      </c>
      <c r="E18" s="92">
        <f>903.184+247.687</f>
        <v>1150.871</v>
      </c>
      <c r="F18" s="92">
        <f aca="true" t="shared" si="0" ref="F18:F50">E18</f>
        <v>1150.871</v>
      </c>
      <c r="G18" s="93"/>
      <c r="H18" s="94"/>
      <c r="I18" s="95"/>
    </row>
    <row r="19" spans="1:9" ht="15">
      <c r="A19" s="88">
        <v>2</v>
      </c>
      <c r="B19" s="89" t="s">
        <v>61</v>
      </c>
      <c r="C19" s="90" t="s">
        <v>12</v>
      </c>
      <c r="D19" s="91">
        <v>29</v>
      </c>
      <c r="E19" s="92">
        <f>1027.376+142.825</f>
        <v>1170.201</v>
      </c>
      <c r="F19" s="92">
        <f t="shared" si="0"/>
        <v>1170.201</v>
      </c>
      <c r="G19" s="93"/>
      <c r="H19" s="94"/>
      <c r="I19" s="95"/>
    </row>
    <row r="20" spans="1:9" ht="15">
      <c r="A20" s="88">
        <v>3</v>
      </c>
      <c r="B20" s="89" t="s">
        <v>154</v>
      </c>
      <c r="C20" s="90" t="s">
        <v>12</v>
      </c>
      <c r="D20" s="91">
        <v>20</v>
      </c>
      <c r="E20" s="92">
        <f>356.012+59</f>
        <v>415.012</v>
      </c>
      <c r="F20" s="92">
        <f t="shared" si="0"/>
        <v>415.012</v>
      </c>
      <c r="G20" s="93"/>
      <c r="H20" s="94"/>
      <c r="I20" s="95"/>
    </row>
    <row r="21" spans="1:9" ht="15">
      <c r="A21" s="88">
        <v>4</v>
      </c>
      <c r="B21" s="89" t="s">
        <v>155</v>
      </c>
      <c r="C21" s="90" t="s">
        <v>12</v>
      </c>
      <c r="D21" s="91">
        <v>15</v>
      </c>
      <c r="E21" s="92">
        <f>150.821+19.5</f>
        <v>170.321</v>
      </c>
      <c r="F21" s="92">
        <f t="shared" si="0"/>
        <v>170.321</v>
      </c>
      <c r="G21" s="93"/>
      <c r="H21" s="94"/>
      <c r="I21" s="95"/>
    </row>
    <row r="22" spans="1:9" ht="25.5">
      <c r="A22" s="88">
        <v>5</v>
      </c>
      <c r="B22" s="89" t="s">
        <v>156</v>
      </c>
      <c r="C22" s="90" t="s">
        <v>12</v>
      </c>
      <c r="D22" s="91">
        <v>185</v>
      </c>
      <c r="E22" s="92">
        <f>2641.078+1775.558</f>
        <v>4416.636</v>
      </c>
      <c r="F22" s="92">
        <f t="shared" si="0"/>
        <v>4416.636</v>
      </c>
      <c r="G22" s="99"/>
      <c r="H22" s="94"/>
      <c r="I22" s="95"/>
    </row>
    <row r="23" spans="1:9" ht="15">
      <c r="A23" s="88">
        <v>6</v>
      </c>
      <c r="B23" s="89" t="s">
        <v>157</v>
      </c>
      <c r="C23" s="90" t="s">
        <v>12</v>
      </c>
      <c r="D23" s="100">
        <v>198</v>
      </c>
      <c r="E23" s="92">
        <f>2800.918+1927.044</f>
        <v>4727.962</v>
      </c>
      <c r="F23" s="92">
        <f t="shared" si="0"/>
        <v>4727.962</v>
      </c>
      <c r="G23" s="99"/>
      <c r="H23" s="94"/>
      <c r="I23" s="95"/>
    </row>
    <row r="24" spans="1:9" ht="15">
      <c r="A24" s="88">
        <v>7</v>
      </c>
      <c r="B24" s="89" t="s">
        <v>159</v>
      </c>
      <c r="C24" s="90" t="s">
        <v>12</v>
      </c>
      <c r="D24" s="100">
        <v>30</v>
      </c>
      <c r="E24" s="92">
        <f>279.065+70.71</f>
        <v>349.775</v>
      </c>
      <c r="F24" s="92">
        <f t="shared" si="0"/>
        <v>349.775</v>
      </c>
      <c r="G24" s="99"/>
      <c r="H24" s="94"/>
      <c r="I24" s="95"/>
    </row>
    <row r="25" spans="1:9" ht="15">
      <c r="A25" s="88">
        <v>8</v>
      </c>
      <c r="B25" s="89" t="s">
        <v>62</v>
      </c>
      <c r="C25" s="90" t="s">
        <v>12</v>
      </c>
      <c r="D25" s="100">
        <v>71</v>
      </c>
      <c r="E25" s="92">
        <f>629.597+167.347</f>
        <v>796.944</v>
      </c>
      <c r="F25" s="92">
        <f t="shared" si="0"/>
        <v>796.944</v>
      </c>
      <c r="G25" s="99"/>
      <c r="H25" s="94"/>
      <c r="I25" s="95"/>
    </row>
    <row r="26" spans="1:9" ht="15">
      <c r="A26" s="60">
        <v>9</v>
      </c>
      <c r="B26" s="14" t="s">
        <v>63</v>
      </c>
      <c r="C26" s="61" t="s">
        <v>12</v>
      </c>
      <c r="D26" s="66">
        <v>39</v>
      </c>
      <c r="E26" s="62">
        <f>359.117+91.923</f>
        <v>451.04</v>
      </c>
      <c r="F26" s="62">
        <f>E26</f>
        <v>451.04</v>
      </c>
      <c r="G26" s="65"/>
      <c r="H26" s="63"/>
      <c r="I26" s="64"/>
    </row>
    <row r="27" spans="1:9" ht="15">
      <c r="A27" s="67">
        <v>10</v>
      </c>
      <c r="B27" s="14" t="s">
        <v>64</v>
      </c>
      <c r="C27" s="5" t="s">
        <v>12</v>
      </c>
      <c r="D27" s="48">
        <v>175</v>
      </c>
      <c r="E27" s="31">
        <f>1617.83+136.143</f>
        <v>1753.973</v>
      </c>
      <c r="F27" s="31">
        <f aca="true" t="shared" si="1" ref="F27:F34">E27</f>
        <v>1753.973</v>
      </c>
      <c r="G27" s="68"/>
      <c r="H27" s="6"/>
      <c r="I27" s="3"/>
    </row>
    <row r="28" spans="1:9" ht="15">
      <c r="A28" s="60">
        <v>11</v>
      </c>
      <c r="B28" s="14" t="s">
        <v>160</v>
      </c>
      <c r="C28" s="61" t="s">
        <v>12</v>
      </c>
      <c r="D28" s="66">
        <v>125</v>
      </c>
      <c r="E28" s="62">
        <f>1162.043+294.643</f>
        <v>1456.686</v>
      </c>
      <c r="F28" s="62">
        <f t="shared" si="1"/>
        <v>1456.686</v>
      </c>
      <c r="G28" s="65"/>
      <c r="H28" s="63"/>
      <c r="I28" s="64"/>
    </row>
    <row r="29" spans="1:9" ht="15">
      <c r="A29" s="60">
        <v>12</v>
      </c>
      <c r="B29" s="14" t="s">
        <v>65</v>
      </c>
      <c r="C29" s="61" t="s">
        <v>12</v>
      </c>
      <c r="D29" s="66">
        <v>68</v>
      </c>
      <c r="E29" s="62">
        <f>609.363+160.276</f>
        <v>769.6390000000001</v>
      </c>
      <c r="F29" s="62">
        <f t="shared" si="1"/>
        <v>769.6390000000001</v>
      </c>
      <c r="G29" s="65"/>
      <c r="H29" s="63"/>
      <c r="I29" s="64"/>
    </row>
    <row r="30" spans="1:9" ht="15">
      <c r="A30" s="60">
        <v>13</v>
      </c>
      <c r="B30" s="14" t="s">
        <v>66</v>
      </c>
      <c r="C30" s="61" t="s">
        <v>12</v>
      </c>
      <c r="D30" s="66">
        <v>17</v>
      </c>
      <c r="E30" s="62">
        <f>169.247+40.069</f>
        <v>209.31600000000003</v>
      </c>
      <c r="F30" s="62">
        <f t="shared" si="1"/>
        <v>209.31600000000003</v>
      </c>
      <c r="G30" s="65"/>
      <c r="H30" s="63"/>
      <c r="I30" s="64"/>
    </row>
    <row r="31" spans="1:9" ht="15">
      <c r="A31" s="60">
        <v>14</v>
      </c>
      <c r="B31" s="14" t="s">
        <v>138</v>
      </c>
      <c r="C31" s="61" t="s">
        <v>12</v>
      </c>
      <c r="D31" s="66">
        <v>87</v>
      </c>
      <c r="E31" s="62">
        <f>773.317+205.059</f>
        <v>978.376</v>
      </c>
      <c r="F31" s="62">
        <f t="shared" si="1"/>
        <v>978.376</v>
      </c>
      <c r="G31" s="65"/>
      <c r="H31" s="63"/>
      <c r="I31" s="69"/>
    </row>
    <row r="32" spans="1:9" ht="15">
      <c r="A32" s="60">
        <v>15</v>
      </c>
      <c r="B32" s="14" t="s">
        <v>67</v>
      </c>
      <c r="C32" s="61" t="s">
        <v>12</v>
      </c>
      <c r="D32" s="66">
        <v>90</v>
      </c>
      <c r="E32" s="62">
        <f>799.205+212.13</f>
        <v>1011.335</v>
      </c>
      <c r="F32" s="62">
        <f t="shared" si="1"/>
        <v>1011.335</v>
      </c>
      <c r="G32" s="65"/>
      <c r="H32" s="63"/>
      <c r="I32" s="64"/>
    </row>
    <row r="33" spans="1:9" ht="15">
      <c r="A33" s="60">
        <v>16</v>
      </c>
      <c r="B33" s="14" t="s">
        <v>68</v>
      </c>
      <c r="C33" s="61" t="s">
        <v>12</v>
      </c>
      <c r="D33" s="66">
        <v>267</v>
      </c>
      <c r="E33" s="62">
        <f>3871.352+2594.434</f>
        <v>6465.786</v>
      </c>
      <c r="F33" s="31">
        <f t="shared" si="1"/>
        <v>6465.786</v>
      </c>
      <c r="G33" s="65"/>
      <c r="H33" s="63"/>
      <c r="I33" s="64"/>
    </row>
    <row r="34" spans="1:9" ht="15">
      <c r="A34" s="60">
        <v>17</v>
      </c>
      <c r="B34" s="14" t="s">
        <v>69</v>
      </c>
      <c r="C34" s="61" t="s">
        <v>12</v>
      </c>
      <c r="D34" s="66">
        <v>33</v>
      </c>
      <c r="E34" s="62">
        <f>307.341+25.673</f>
        <v>333.014</v>
      </c>
      <c r="F34" s="62">
        <f t="shared" si="1"/>
        <v>333.014</v>
      </c>
      <c r="G34" s="65"/>
      <c r="H34" s="63"/>
      <c r="I34" s="64"/>
    </row>
    <row r="35" spans="1:9" ht="15">
      <c r="A35" s="60">
        <v>18</v>
      </c>
      <c r="B35" s="14" t="s">
        <v>70</v>
      </c>
      <c r="C35" s="61" t="s">
        <v>12</v>
      </c>
      <c r="D35" s="66">
        <v>11</v>
      </c>
      <c r="E35" s="62">
        <f>117.498+8.542</f>
        <v>126.04</v>
      </c>
      <c r="F35" s="62">
        <f t="shared" si="0"/>
        <v>126.04</v>
      </c>
      <c r="G35" s="65"/>
      <c r="H35" s="63"/>
      <c r="I35" s="64"/>
    </row>
    <row r="36" spans="1:9" ht="15">
      <c r="A36" s="67">
        <v>19</v>
      </c>
      <c r="B36" s="14" t="s">
        <v>71</v>
      </c>
      <c r="C36" s="5" t="s">
        <v>12</v>
      </c>
      <c r="D36" s="66">
        <v>60</v>
      </c>
      <c r="E36" s="62">
        <f>540.329+46.595</f>
        <v>586.924</v>
      </c>
      <c r="F36" s="62">
        <f t="shared" si="0"/>
        <v>586.924</v>
      </c>
      <c r="G36" s="65"/>
      <c r="H36" s="6"/>
      <c r="I36" s="3"/>
    </row>
    <row r="37" spans="1:9" ht="15">
      <c r="A37" s="67">
        <v>20</v>
      </c>
      <c r="B37" s="14" t="s">
        <v>72</v>
      </c>
      <c r="C37" s="5" t="s">
        <v>12</v>
      </c>
      <c r="D37" s="66">
        <v>85</v>
      </c>
      <c r="E37" s="62">
        <f>756.059+200.345</f>
        <v>956.404</v>
      </c>
      <c r="F37" s="62">
        <f t="shared" si="0"/>
        <v>956.404</v>
      </c>
      <c r="G37" s="65"/>
      <c r="H37" s="6"/>
      <c r="I37" s="3"/>
    </row>
    <row r="38" spans="1:9" ht="25.5">
      <c r="A38" s="67">
        <v>21</v>
      </c>
      <c r="B38" s="14" t="s">
        <v>161</v>
      </c>
      <c r="C38" s="5" t="s">
        <v>12</v>
      </c>
      <c r="D38" s="66">
        <v>580</v>
      </c>
      <c r="E38" s="62">
        <f>5377.428+1367.06</f>
        <v>6744.487999999999</v>
      </c>
      <c r="F38" s="31">
        <f t="shared" si="0"/>
        <v>6744.487999999999</v>
      </c>
      <c r="G38" s="65"/>
      <c r="H38" s="6"/>
      <c r="I38" s="3"/>
    </row>
    <row r="39" spans="1:9" ht="15">
      <c r="A39" s="67">
        <v>22</v>
      </c>
      <c r="B39" s="14" t="s">
        <v>73</v>
      </c>
      <c r="C39" s="5" t="s">
        <v>12</v>
      </c>
      <c r="D39" s="66">
        <v>45</v>
      </c>
      <c r="E39" s="62">
        <f>728.5+221.625</f>
        <v>950.125</v>
      </c>
      <c r="F39" s="31">
        <f t="shared" si="0"/>
        <v>950.125</v>
      </c>
      <c r="G39" s="65"/>
      <c r="H39" s="6"/>
      <c r="I39" s="3"/>
    </row>
    <row r="40" spans="1:9" ht="15">
      <c r="A40" s="67">
        <v>23</v>
      </c>
      <c r="B40" s="14" t="s">
        <v>162</v>
      </c>
      <c r="C40" s="5" t="s">
        <v>12</v>
      </c>
      <c r="D40" s="66">
        <v>329</v>
      </c>
      <c r="E40" s="62">
        <f>4777.168+1620.325</f>
        <v>6397.4929999999995</v>
      </c>
      <c r="F40" s="31">
        <f t="shared" si="0"/>
        <v>6397.4929999999995</v>
      </c>
      <c r="G40" s="65"/>
      <c r="H40" s="6"/>
      <c r="I40" s="3"/>
    </row>
    <row r="41" spans="1:9" ht="15">
      <c r="A41" s="67">
        <v>24</v>
      </c>
      <c r="B41" s="14" t="s">
        <v>74</v>
      </c>
      <c r="C41" s="5" t="s">
        <v>12</v>
      </c>
      <c r="D41" s="66">
        <v>100</v>
      </c>
      <c r="E41" s="62">
        <f>885.497+77.788</f>
        <v>963.285</v>
      </c>
      <c r="F41" s="31">
        <f t="shared" si="0"/>
        <v>963.285</v>
      </c>
      <c r="G41" s="65"/>
      <c r="H41" s="6"/>
      <c r="I41" s="3"/>
    </row>
    <row r="42" spans="1:9" ht="15">
      <c r="A42" s="67">
        <v>25</v>
      </c>
      <c r="B42" s="14" t="s">
        <v>75</v>
      </c>
      <c r="C42" s="5" t="s">
        <v>12</v>
      </c>
      <c r="D42" s="66">
        <v>43</v>
      </c>
      <c r="E42" s="62">
        <f>393.634+101.351</f>
        <v>494.985</v>
      </c>
      <c r="F42" s="31">
        <f t="shared" si="0"/>
        <v>494.985</v>
      </c>
      <c r="G42" s="65"/>
      <c r="H42" s="6"/>
      <c r="I42" s="3"/>
    </row>
    <row r="43" spans="1:9" ht="15">
      <c r="A43" s="67">
        <v>26</v>
      </c>
      <c r="B43" s="14" t="s">
        <v>143</v>
      </c>
      <c r="C43" s="5" t="s">
        <v>12</v>
      </c>
      <c r="D43" s="66">
        <v>763</v>
      </c>
      <c r="E43" s="31">
        <f>7000.452+221.625</f>
        <v>7222.077</v>
      </c>
      <c r="F43" s="31">
        <f t="shared" si="0"/>
        <v>7222.077</v>
      </c>
      <c r="G43" s="65"/>
      <c r="H43" s="6"/>
      <c r="I43" s="3"/>
    </row>
    <row r="44" spans="1:9" ht="15">
      <c r="A44" s="67">
        <v>27</v>
      </c>
      <c r="B44" s="14" t="s">
        <v>139</v>
      </c>
      <c r="C44" s="5" t="s">
        <v>12</v>
      </c>
      <c r="D44" s="66">
        <v>34</v>
      </c>
      <c r="E44" s="62">
        <f>315.97+80.138</f>
        <v>396.10800000000006</v>
      </c>
      <c r="F44" s="31">
        <f t="shared" si="0"/>
        <v>396.10800000000006</v>
      </c>
      <c r="G44" s="65"/>
      <c r="H44" s="6"/>
      <c r="I44" s="3"/>
    </row>
    <row r="45" spans="1:9" ht="15">
      <c r="A45" s="67">
        <v>28</v>
      </c>
      <c r="B45" s="14" t="s">
        <v>163</v>
      </c>
      <c r="C45" s="5" t="s">
        <v>12</v>
      </c>
      <c r="D45" s="66">
        <v>576</v>
      </c>
      <c r="E45" s="62">
        <f>8295.874+2836.8</f>
        <v>11132.673999999999</v>
      </c>
      <c r="F45" s="31">
        <f t="shared" si="0"/>
        <v>11132.673999999999</v>
      </c>
      <c r="G45" s="70"/>
      <c r="H45" s="6"/>
      <c r="I45" s="3"/>
    </row>
    <row r="46" spans="1:9" ht="15">
      <c r="A46" s="67">
        <v>29</v>
      </c>
      <c r="B46" s="14" t="s">
        <v>153</v>
      </c>
      <c r="C46" s="5" t="s">
        <v>12</v>
      </c>
      <c r="D46" s="66">
        <v>37</v>
      </c>
      <c r="E46" s="62">
        <f>341.858+28.871</f>
        <v>370.729</v>
      </c>
      <c r="F46" s="31">
        <f t="shared" si="0"/>
        <v>370.729</v>
      </c>
      <c r="G46" s="70"/>
      <c r="H46" s="6"/>
      <c r="I46" s="3"/>
    </row>
    <row r="47" spans="1:9" ht="15">
      <c r="A47" s="67">
        <v>30</v>
      </c>
      <c r="B47" s="14" t="s">
        <v>164</v>
      </c>
      <c r="C47" s="5" t="s">
        <v>12</v>
      </c>
      <c r="D47" s="66">
        <v>258</v>
      </c>
      <c r="E47" s="62">
        <f>3743.141+1270.65</f>
        <v>5013.791</v>
      </c>
      <c r="F47" s="31">
        <f t="shared" si="0"/>
        <v>5013.791</v>
      </c>
      <c r="G47" s="70"/>
      <c r="H47" s="71"/>
      <c r="I47" s="3"/>
    </row>
    <row r="48" spans="1:9" ht="25.5">
      <c r="A48" s="67">
        <v>31</v>
      </c>
      <c r="B48" s="14" t="s">
        <v>165</v>
      </c>
      <c r="C48" s="5" t="s">
        <v>12</v>
      </c>
      <c r="D48" s="66">
        <v>130</v>
      </c>
      <c r="E48" s="62">
        <f>1874.529+1659.822</f>
        <v>3534.3509999999997</v>
      </c>
      <c r="F48" s="31">
        <f t="shared" si="0"/>
        <v>3534.3509999999997</v>
      </c>
      <c r="G48" s="70"/>
      <c r="H48" s="71"/>
      <c r="I48" s="3"/>
    </row>
    <row r="49" spans="1:9" ht="15">
      <c r="A49" s="67">
        <v>32</v>
      </c>
      <c r="B49" s="14" t="s">
        <v>140</v>
      </c>
      <c r="C49" s="5" t="s">
        <v>12</v>
      </c>
      <c r="D49" s="66">
        <v>290</v>
      </c>
      <c r="E49" s="62">
        <f>4176.43+1428.25</f>
        <v>5604.68</v>
      </c>
      <c r="F49" s="31">
        <f t="shared" si="0"/>
        <v>5604.68</v>
      </c>
      <c r="G49" s="70"/>
      <c r="H49" s="71"/>
      <c r="I49" s="3"/>
    </row>
    <row r="50" spans="1:9" ht="15">
      <c r="A50" s="67">
        <v>33</v>
      </c>
      <c r="B50" s="14" t="s">
        <v>142</v>
      </c>
      <c r="C50" s="5" t="s">
        <v>12</v>
      </c>
      <c r="D50" s="66">
        <v>50</v>
      </c>
      <c r="E50" s="62">
        <f>806.936+487.55</f>
        <v>1294.486</v>
      </c>
      <c r="F50" s="31">
        <f t="shared" si="0"/>
        <v>1294.486</v>
      </c>
      <c r="G50" s="70"/>
      <c r="H50" s="71"/>
      <c r="I50" s="3"/>
    </row>
    <row r="51" spans="1:9" ht="15">
      <c r="A51" s="142" t="s">
        <v>82</v>
      </c>
      <c r="B51" s="142"/>
      <c r="C51" s="1"/>
      <c r="D51" s="87">
        <f>SUM(D18:D50)</f>
        <v>4925</v>
      </c>
      <c r="E51" s="87">
        <f>SUM(E18:E50)</f>
        <v>78415.527</v>
      </c>
      <c r="F51" s="87">
        <f>SUM(F18:F50)</f>
        <v>78415.527</v>
      </c>
      <c r="G51" s="87"/>
      <c r="H51" s="6"/>
      <c r="I51" s="3"/>
    </row>
    <row r="52" spans="1:9" ht="15">
      <c r="A52" s="59">
        <v>2</v>
      </c>
      <c r="B52" s="142" t="s">
        <v>83</v>
      </c>
      <c r="C52" s="142"/>
      <c r="D52" s="142"/>
      <c r="E52" s="142"/>
      <c r="F52" s="142"/>
      <c r="G52" s="142"/>
      <c r="H52" s="142"/>
      <c r="I52" s="142"/>
    </row>
    <row r="53" spans="1:9" ht="15">
      <c r="A53" s="88">
        <v>1</v>
      </c>
      <c r="B53" s="89" t="s">
        <v>76</v>
      </c>
      <c r="C53" s="90" t="s">
        <v>12</v>
      </c>
      <c r="D53" s="91">
        <v>69</v>
      </c>
      <c r="E53" s="91">
        <f>1506.586+880.982</f>
        <v>2387.568</v>
      </c>
      <c r="F53" s="101">
        <f aca="true" t="shared" si="2" ref="F53:F59">E53</f>
        <v>2387.568</v>
      </c>
      <c r="G53" s="93"/>
      <c r="H53" s="94"/>
      <c r="I53" s="95"/>
    </row>
    <row r="54" spans="1:9" ht="15">
      <c r="A54" s="88">
        <v>2</v>
      </c>
      <c r="B54" s="89" t="s">
        <v>77</v>
      </c>
      <c r="C54" s="90" t="s">
        <v>12</v>
      </c>
      <c r="D54" s="91">
        <v>191</v>
      </c>
      <c r="E54" s="91">
        <f>4057.229+2438.661</f>
        <v>6495.889999999999</v>
      </c>
      <c r="F54" s="101">
        <f t="shared" si="2"/>
        <v>6495.889999999999</v>
      </c>
      <c r="G54" s="93"/>
      <c r="H54" s="94"/>
      <c r="I54" s="95"/>
    </row>
    <row r="55" spans="1:9" ht="15">
      <c r="A55" s="88">
        <v>3</v>
      </c>
      <c r="B55" s="89" t="s">
        <v>78</v>
      </c>
      <c r="C55" s="90" t="s">
        <v>12</v>
      </c>
      <c r="D55" s="91">
        <v>82</v>
      </c>
      <c r="E55" s="91">
        <f>1961.704+1312</f>
        <v>3273.7039999999997</v>
      </c>
      <c r="F55" s="101">
        <f t="shared" si="2"/>
        <v>3273.7039999999997</v>
      </c>
      <c r="G55" s="93"/>
      <c r="H55" s="94"/>
      <c r="I55" s="95"/>
    </row>
    <row r="56" spans="1:9" ht="15">
      <c r="A56" s="88">
        <v>4</v>
      </c>
      <c r="B56" s="89" t="s">
        <v>79</v>
      </c>
      <c r="C56" s="90" t="s">
        <v>12</v>
      </c>
      <c r="D56" s="91">
        <v>115</v>
      </c>
      <c r="E56" s="91">
        <f>1636.259+11039.725</f>
        <v>12675.984</v>
      </c>
      <c r="F56" s="101">
        <f t="shared" si="2"/>
        <v>12675.984</v>
      </c>
      <c r="G56" s="93"/>
      <c r="H56" s="94"/>
      <c r="I56" s="95"/>
    </row>
    <row r="57" spans="1:9" ht="15">
      <c r="A57" s="88">
        <v>5</v>
      </c>
      <c r="B57" s="89" t="s">
        <v>80</v>
      </c>
      <c r="C57" s="90" t="s">
        <v>12</v>
      </c>
      <c r="D57" s="91">
        <v>162</v>
      </c>
      <c r="E57" s="91">
        <f>1961.704+1312</f>
        <v>3273.7039999999997</v>
      </c>
      <c r="F57" s="101">
        <f t="shared" si="2"/>
        <v>3273.7039999999997</v>
      </c>
      <c r="G57" s="93"/>
      <c r="H57" s="94"/>
      <c r="I57" s="95"/>
    </row>
    <row r="58" spans="1:9" ht="15">
      <c r="A58" s="67">
        <v>6</v>
      </c>
      <c r="B58" s="14" t="s">
        <v>124</v>
      </c>
      <c r="C58" s="5" t="s">
        <v>12</v>
      </c>
      <c r="D58" s="1">
        <v>57</v>
      </c>
      <c r="E58" s="1">
        <f>916.745+280.725</f>
        <v>1197.47</v>
      </c>
      <c r="F58" s="4">
        <f t="shared" si="2"/>
        <v>1197.47</v>
      </c>
      <c r="G58" s="71"/>
      <c r="H58" s="6"/>
      <c r="I58" s="3"/>
    </row>
    <row r="59" spans="1:9" ht="15">
      <c r="A59" s="67">
        <v>7</v>
      </c>
      <c r="B59" s="14" t="s">
        <v>125</v>
      </c>
      <c r="C59" s="5" t="s">
        <v>12</v>
      </c>
      <c r="D59" s="1">
        <v>108</v>
      </c>
      <c r="E59" s="1">
        <f>1561.121+1092.96</f>
        <v>2654.081</v>
      </c>
      <c r="F59" s="4">
        <f t="shared" si="2"/>
        <v>2654.081</v>
      </c>
      <c r="G59" s="71"/>
      <c r="H59" s="6"/>
      <c r="I59" s="3"/>
    </row>
    <row r="60" spans="1:9" ht="15">
      <c r="A60" s="67">
        <v>8</v>
      </c>
      <c r="B60" s="14" t="s">
        <v>158</v>
      </c>
      <c r="C60" s="5" t="s">
        <v>12</v>
      </c>
      <c r="D60" s="66">
        <v>55</v>
      </c>
      <c r="E60" s="62">
        <f>885.371+270.875</f>
        <v>1156.246</v>
      </c>
      <c r="F60" s="31">
        <f>E60</f>
        <v>1156.246</v>
      </c>
      <c r="G60" s="70"/>
      <c r="H60" s="6"/>
      <c r="I60" s="3"/>
    </row>
    <row r="61" spans="1:9" ht="15">
      <c r="A61" s="67">
        <v>9</v>
      </c>
      <c r="B61" s="14" t="s">
        <v>141</v>
      </c>
      <c r="C61" s="5" t="s">
        <v>12</v>
      </c>
      <c r="D61" s="66">
        <v>50</v>
      </c>
      <c r="E61" s="62">
        <f>806.936+638.393</f>
        <v>1445.3290000000002</v>
      </c>
      <c r="F61" s="31">
        <v>1445</v>
      </c>
      <c r="G61" s="70"/>
      <c r="H61" s="6"/>
      <c r="I61" s="3"/>
    </row>
    <row r="62" spans="1:9" ht="15">
      <c r="A62" s="144" t="s">
        <v>84</v>
      </c>
      <c r="B62" s="144"/>
      <c r="C62" s="87"/>
      <c r="D62" s="87">
        <f>SUM(D53:D61)</f>
        <v>889</v>
      </c>
      <c r="E62" s="87">
        <f>SUM(E53:E61)</f>
        <v>34559.975999999995</v>
      </c>
      <c r="F62" s="87">
        <f>SUM(F53:F61)</f>
        <v>34559.647</v>
      </c>
      <c r="G62" s="87"/>
      <c r="H62" s="6"/>
      <c r="I62" s="3"/>
    </row>
    <row r="63" spans="1:9" ht="15">
      <c r="A63" s="59">
        <v>3</v>
      </c>
      <c r="B63" s="72" t="s">
        <v>169</v>
      </c>
      <c r="C63" s="72"/>
      <c r="D63" s="72"/>
      <c r="E63" s="87">
        <f>SUM(E64:E66)</f>
        <v>75343.07514285714</v>
      </c>
      <c r="F63" s="87">
        <f>E63</f>
        <v>75343.07514285714</v>
      </c>
      <c r="G63" s="72"/>
      <c r="H63" s="72"/>
      <c r="I63" s="72"/>
    </row>
    <row r="64" spans="1:9" ht="15">
      <c r="A64" s="73">
        <v>1</v>
      </c>
      <c r="B64" s="15" t="s">
        <v>167</v>
      </c>
      <c r="C64" s="1" t="s">
        <v>13</v>
      </c>
      <c r="D64" s="1">
        <v>3</v>
      </c>
      <c r="E64" s="1">
        <v>11667.668</v>
      </c>
      <c r="F64" s="1">
        <f>E64</f>
        <v>11667.668</v>
      </c>
      <c r="G64" s="1"/>
      <c r="H64" s="1"/>
      <c r="I64" s="5"/>
    </row>
    <row r="65" spans="1:9" ht="15">
      <c r="A65" s="73">
        <v>2</v>
      </c>
      <c r="B65" s="15" t="s">
        <v>145</v>
      </c>
      <c r="C65" s="1" t="s">
        <v>13</v>
      </c>
      <c r="D65" s="1">
        <v>8</v>
      </c>
      <c r="E65" s="1">
        <f>14701.456/1.12</f>
        <v>13126.3</v>
      </c>
      <c r="F65" s="1">
        <f>E65</f>
        <v>13126.3</v>
      </c>
      <c r="G65" s="1"/>
      <c r="H65" s="1"/>
      <c r="I65" s="5"/>
    </row>
    <row r="66" spans="1:9" ht="15">
      <c r="A66" s="73">
        <v>3</v>
      </c>
      <c r="B66" s="15" t="s">
        <v>148</v>
      </c>
      <c r="C66" s="1" t="s">
        <v>13</v>
      </c>
      <c r="D66" s="1">
        <v>1</v>
      </c>
      <c r="E66" s="1">
        <f>56615/1.12</f>
        <v>50549.10714285714</v>
      </c>
      <c r="F66" s="1">
        <f>56615/1.12</f>
        <v>50549.10714285714</v>
      </c>
      <c r="G66" s="1"/>
      <c r="H66" s="1"/>
      <c r="I66" s="5"/>
    </row>
    <row r="67" spans="1:9" ht="15">
      <c r="A67" s="59">
        <v>4</v>
      </c>
      <c r="B67" s="86" t="s">
        <v>171</v>
      </c>
      <c r="C67" s="1" t="s">
        <v>13</v>
      </c>
      <c r="D67" s="87"/>
      <c r="E67" s="87">
        <f>SUM(E68:E72)</f>
        <v>4513.7919999999995</v>
      </c>
      <c r="F67" s="87">
        <f aca="true" t="shared" si="3" ref="F67:F93">E67</f>
        <v>4513.7919999999995</v>
      </c>
      <c r="G67" s="87"/>
      <c r="H67" s="87"/>
      <c r="I67" s="84"/>
    </row>
    <row r="68" spans="1:9" ht="15">
      <c r="A68" s="73">
        <v>1</v>
      </c>
      <c r="B68" s="15" t="s">
        <v>95</v>
      </c>
      <c r="C68" s="1" t="s">
        <v>13</v>
      </c>
      <c r="D68" s="1">
        <v>2</v>
      </c>
      <c r="E68" s="1">
        <f>142*2</f>
        <v>284</v>
      </c>
      <c r="F68" s="1">
        <f t="shared" si="3"/>
        <v>284</v>
      </c>
      <c r="G68" s="87"/>
      <c r="H68" s="87"/>
      <c r="I68" s="84"/>
    </row>
    <row r="69" spans="1:9" ht="15">
      <c r="A69" s="73">
        <v>2</v>
      </c>
      <c r="B69" s="15" t="s">
        <v>137</v>
      </c>
      <c r="C69" s="1" t="s">
        <v>13</v>
      </c>
      <c r="D69" s="1">
        <v>1</v>
      </c>
      <c r="E69" s="1">
        <v>2567.792</v>
      </c>
      <c r="F69" s="1">
        <f t="shared" si="3"/>
        <v>2567.792</v>
      </c>
      <c r="G69" s="1"/>
      <c r="H69" s="1"/>
      <c r="I69" s="5"/>
    </row>
    <row r="70" spans="1:9" ht="15">
      <c r="A70" s="73">
        <v>3</v>
      </c>
      <c r="B70" s="15" t="s">
        <v>114</v>
      </c>
      <c r="C70" s="1" t="s">
        <v>13</v>
      </c>
      <c r="D70" s="1">
        <v>1</v>
      </c>
      <c r="E70" s="1">
        <v>250</v>
      </c>
      <c r="F70" s="1">
        <f t="shared" si="3"/>
        <v>250</v>
      </c>
      <c r="G70" s="1"/>
      <c r="H70" s="1"/>
      <c r="I70" s="5"/>
    </row>
    <row r="71" spans="1:9" ht="15">
      <c r="A71" s="73">
        <v>4</v>
      </c>
      <c r="B71" s="15" t="s">
        <v>115</v>
      </c>
      <c r="C71" s="1" t="s">
        <v>13</v>
      </c>
      <c r="D71" s="1">
        <v>1</v>
      </c>
      <c r="E71" s="1">
        <v>162</v>
      </c>
      <c r="F71" s="1">
        <f t="shared" si="3"/>
        <v>162</v>
      </c>
      <c r="G71" s="1"/>
      <c r="H71" s="1"/>
      <c r="I71" s="5"/>
    </row>
    <row r="72" spans="1:9" ht="15">
      <c r="A72" s="102">
        <v>5</v>
      </c>
      <c r="B72" s="103" t="s">
        <v>151</v>
      </c>
      <c r="C72" s="91" t="s">
        <v>13</v>
      </c>
      <c r="D72" s="91">
        <v>1</v>
      </c>
      <c r="E72" s="91">
        <v>1250</v>
      </c>
      <c r="F72" s="91">
        <f t="shared" si="3"/>
        <v>1250</v>
      </c>
      <c r="G72" s="91"/>
      <c r="H72" s="91"/>
      <c r="I72" s="90"/>
    </row>
    <row r="73" spans="1:9" ht="25.5">
      <c r="A73" s="59">
        <v>5</v>
      </c>
      <c r="B73" s="86" t="s">
        <v>172</v>
      </c>
      <c r="C73" s="1" t="s">
        <v>13</v>
      </c>
      <c r="D73" s="87"/>
      <c r="E73" s="87">
        <f>E74</f>
        <v>1128</v>
      </c>
      <c r="F73" s="87">
        <f t="shared" si="3"/>
        <v>1128</v>
      </c>
      <c r="G73" s="87"/>
      <c r="H73" s="87"/>
      <c r="I73" s="84"/>
    </row>
    <row r="74" spans="1:9" ht="15">
      <c r="A74" s="102">
        <v>1</v>
      </c>
      <c r="B74" s="103" t="s">
        <v>113</v>
      </c>
      <c r="C74" s="91" t="s">
        <v>13</v>
      </c>
      <c r="D74" s="91">
        <v>1</v>
      </c>
      <c r="E74" s="91">
        <v>1128</v>
      </c>
      <c r="F74" s="91">
        <f t="shared" si="3"/>
        <v>1128</v>
      </c>
      <c r="G74" s="91"/>
      <c r="H74" s="91"/>
      <c r="I74" s="90"/>
    </row>
    <row r="75" spans="1:9" ht="15">
      <c r="A75" s="59">
        <v>6</v>
      </c>
      <c r="B75" s="86" t="s">
        <v>173</v>
      </c>
      <c r="C75" s="1" t="s">
        <v>13</v>
      </c>
      <c r="D75" s="1"/>
      <c r="E75" s="87">
        <f>SUM(E76:E79)</f>
        <v>2032.84</v>
      </c>
      <c r="F75" s="87">
        <f t="shared" si="3"/>
        <v>2032.84</v>
      </c>
      <c r="G75" s="87"/>
      <c r="H75" s="87"/>
      <c r="I75" s="84"/>
    </row>
    <row r="76" spans="1:9" ht="25.5">
      <c r="A76" s="102">
        <v>1</v>
      </c>
      <c r="B76" s="103" t="s">
        <v>110</v>
      </c>
      <c r="C76" s="91" t="s">
        <v>13</v>
      </c>
      <c r="D76" s="91">
        <v>1</v>
      </c>
      <c r="E76" s="91">
        <v>1268.86</v>
      </c>
      <c r="F76" s="91">
        <f t="shared" si="3"/>
        <v>1268.86</v>
      </c>
      <c r="G76" s="91"/>
      <c r="H76" s="91"/>
      <c r="I76" s="90"/>
    </row>
    <row r="77" spans="1:9" ht="15">
      <c r="A77" s="102">
        <v>2</v>
      </c>
      <c r="B77" s="103" t="s">
        <v>112</v>
      </c>
      <c r="C77" s="91" t="s">
        <v>13</v>
      </c>
      <c r="D77" s="91">
        <v>1</v>
      </c>
      <c r="E77" s="91">
        <v>345</v>
      </c>
      <c r="F77" s="91">
        <f t="shared" si="3"/>
        <v>345</v>
      </c>
      <c r="G77" s="91"/>
      <c r="H77" s="91"/>
      <c r="I77" s="90"/>
    </row>
    <row r="78" spans="1:9" ht="15">
      <c r="A78" s="73">
        <v>3</v>
      </c>
      <c r="B78" s="15" t="s">
        <v>112</v>
      </c>
      <c r="C78" s="1" t="s">
        <v>13</v>
      </c>
      <c r="D78" s="1">
        <v>1</v>
      </c>
      <c r="E78" s="1">
        <v>134.98</v>
      </c>
      <c r="F78" s="1">
        <f t="shared" si="3"/>
        <v>134.98</v>
      </c>
      <c r="G78" s="1"/>
      <c r="H78" s="1"/>
      <c r="I78" s="5"/>
    </row>
    <row r="79" spans="1:9" ht="15">
      <c r="A79" s="73">
        <v>4</v>
      </c>
      <c r="B79" s="15" t="s">
        <v>95</v>
      </c>
      <c r="C79" s="1" t="s">
        <v>13</v>
      </c>
      <c r="D79" s="1">
        <v>2</v>
      </c>
      <c r="E79" s="1">
        <f>142*2</f>
        <v>284</v>
      </c>
      <c r="F79" s="1">
        <f t="shared" si="3"/>
        <v>284</v>
      </c>
      <c r="G79" s="87"/>
      <c r="H79" s="87"/>
      <c r="I79" s="84"/>
    </row>
    <row r="80" spans="1:9" ht="25.5">
      <c r="A80" s="59">
        <v>7</v>
      </c>
      <c r="B80" s="72" t="s">
        <v>170</v>
      </c>
      <c r="C80" s="1" t="s">
        <v>13</v>
      </c>
      <c r="D80" s="72"/>
      <c r="E80" s="87">
        <f>SUM(E81:E93)</f>
        <v>9369.18742857143</v>
      </c>
      <c r="F80" s="87">
        <f t="shared" si="3"/>
        <v>9369.18742857143</v>
      </c>
      <c r="G80" s="72"/>
      <c r="H80" s="72"/>
      <c r="I80" s="72"/>
    </row>
    <row r="81" spans="1:9" ht="15">
      <c r="A81" s="102">
        <v>1</v>
      </c>
      <c r="B81" s="103" t="s">
        <v>150</v>
      </c>
      <c r="C81" s="91" t="s">
        <v>13</v>
      </c>
      <c r="D81" s="91">
        <v>50</v>
      </c>
      <c r="E81" s="91">
        <v>2160</v>
      </c>
      <c r="F81" s="91">
        <f t="shared" si="3"/>
        <v>2160</v>
      </c>
      <c r="G81" s="105"/>
      <c r="H81" s="105"/>
      <c r="I81" s="106"/>
    </row>
    <row r="82" spans="1:9" ht="15">
      <c r="A82" s="102">
        <v>2</v>
      </c>
      <c r="B82" s="103" t="s">
        <v>129</v>
      </c>
      <c r="C82" s="91" t="s">
        <v>13</v>
      </c>
      <c r="D82" s="91">
        <v>3</v>
      </c>
      <c r="E82" s="91">
        <v>1666.5</v>
      </c>
      <c r="F82" s="91">
        <f t="shared" si="3"/>
        <v>1666.5</v>
      </c>
      <c r="G82" s="105"/>
      <c r="H82" s="105"/>
      <c r="I82" s="106"/>
    </row>
    <row r="83" spans="1:9" ht="15">
      <c r="A83" s="102">
        <v>3</v>
      </c>
      <c r="B83" s="103" t="s">
        <v>130</v>
      </c>
      <c r="C83" s="91" t="s">
        <v>13</v>
      </c>
      <c r="D83" s="91">
        <v>6</v>
      </c>
      <c r="E83" s="91">
        <v>584.316</v>
      </c>
      <c r="F83" s="91">
        <f t="shared" si="3"/>
        <v>584.316</v>
      </c>
      <c r="G83" s="105"/>
      <c r="H83" s="105"/>
      <c r="I83" s="106"/>
    </row>
    <row r="84" spans="1:9" ht="15">
      <c r="A84" s="73">
        <v>4</v>
      </c>
      <c r="B84" s="15" t="s">
        <v>96</v>
      </c>
      <c r="C84" s="1" t="s">
        <v>13</v>
      </c>
      <c r="D84" s="1">
        <v>1</v>
      </c>
      <c r="E84" s="1">
        <f>1320/1.12</f>
        <v>1178.5714285714284</v>
      </c>
      <c r="F84" s="1">
        <f t="shared" si="3"/>
        <v>1178.5714285714284</v>
      </c>
      <c r="G84" s="87"/>
      <c r="H84" s="87"/>
      <c r="I84" s="84"/>
    </row>
    <row r="85" spans="1:9" ht="15">
      <c r="A85" s="102">
        <v>5</v>
      </c>
      <c r="B85" s="103" t="s">
        <v>128</v>
      </c>
      <c r="C85" s="91" t="s">
        <v>13</v>
      </c>
      <c r="D85" s="91">
        <v>20</v>
      </c>
      <c r="E85" s="91">
        <v>640</v>
      </c>
      <c r="F85" s="91">
        <f t="shared" si="3"/>
        <v>640</v>
      </c>
      <c r="G85" s="105"/>
      <c r="H85" s="105"/>
      <c r="I85" s="106"/>
    </row>
    <row r="86" spans="1:9" ht="25.5">
      <c r="A86" s="73">
        <v>6</v>
      </c>
      <c r="B86" s="15" t="s">
        <v>135</v>
      </c>
      <c r="C86" s="1" t="s">
        <v>13</v>
      </c>
      <c r="D86" s="1">
        <v>8</v>
      </c>
      <c r="E86" s="1">
        <v>599.2</v>
      </c>
      <c r="F86" s="1">
        <f t="shared" si="3"/>
        <v>599.2</v>
      </c>
      <c r="G86" s="87"/>
      <c r="H86" s="87"/>
      <c r="I86" s="87"/>
    </row>
    <row r="87" spans="1:9" ht="25.5">
      <c r="A87" s="73">
        <v>7</v>
      </c>
      <c r="B87" s="15" t="s">
        <v>134</v>
      </c>
      <c r="C87" s="1" t="s">
        <v>13</v>
      </c>
      <c r="D87" s="1">
        <v>10</v>
      </c>
      <c r="E87" s="1">
        <v>479</v>
      </c>
      <c r="F87" s="1">
        <f t="shared" si="3"/>
        <v>479</v>
      </c>
      <c r="G87" s="87"/>
      <c r="H87" s="87"/>
      <c r="I87" s="84"/>
    </row>
    <row r="88" spans="1:9" ht="15">
      <c r="A88" s="102">
        <v>8</v>
      </c>
      <c r="B88" s="103" t="s">
        <v>127</v>
      </c>
      <c r="C88" s="91" t="s">
        <v>13</v>
      </c>
      <c r="D88" s="91">
        <v>8</v>
      </c>
      <c r="E88" s="91">
        <v>440</v>
      </c>
      <c r="F88" s="91">
        <f t="shared" si="3"/>
        <v>440</v>
      </c>
      <c r="G88" s="105"/>
      <c r="H88" s="105"/>
      <c r="I88" s="106"/>
    </row>
    <row r="89" spans="1:9" ht="25.5">
      <c r="A89" s="73">
        <v>9</v>
      </c>
      <c r="B89" s="15" t="s">
        <v>131</v>
      </c>
      <c r="C89" s="1" t="s">
        <v>13</v>
      </c>
      <c r="D89" s="1">
        <v>6</v>
      </c>
      <c r="E89" s="1">
        <v>413.4</v>
      </c>
      <c r="F89" s="1">
        <f t="shared" si="3"/>
        <v>413.4</v>
      </c>
      <c r="G89" s="87"/>
      <c r="H89" s="87"/>
      <c r="I89" s="84"/>
    </row>
    <row r="90" spans="1:9" ht="15">
      <c r="A90" s="73">
        <v>10</v>
      </c>
      <c r="B90" s="15" t="s">
        <v>132</v>
      </c>
      <c r="C90" s="1" t="s">
        <v>13</v>
      </c>
      <c r="D90" s="1">
        <v>20</v>
      </c>
      <c r="E90" s="1">
        <v>370</v>
      </c>
      <c r="F90" s="1">
        <f t="shared" si="3"/>
        <v>370</v>
      </c>
      <c r="G90" s="87"/>
      <c r="H90" s="87"/>
      <c r="I90" s="87"/>
    </row>
    <row r="91" spans="1:9" ht="15">
      <c r="A91" s="73">
        <v>11</v>
      </c>
      <c r="B91" s="15" t="s">
        <v>90</v>
      </c>
      <c r="C91" s="1" t="s">
        <v>13</v>
      </c>
      <c r="D91" s="1">
        <v>4</v>
      </c>
      <c r="E91" s="1">
        <v>245</v>
      </c>
      <c r="F91" s="1">
        <f t="shared" si="3"/>
        <v>245</v>
      </c>
      <c r="G91" s="87"/>
      <c r="H91" s="87"/>
      <c r="I91" s="84"/>
    </row>
    <row r="92" spans="1:9" ht="25.5">
      <c r="A92" s="102">
        <v>12</v>
      </c>
      <c r="B92" s="103" t="s">
        <v>126</v>
      </c>
      <c r="C92" s="91" t="s">
        <v>13</v>
      </c>
      <c r="D92" s="91">
        <f>4+2+2+2</f>
        <v>10</v>
      </c>
      <c r="E92" s="91">
        <v>551.2</v>
      </c>
      <c r="F92" s="91">
        <f t="shared" si="3"/>
        <v>551.2</v>
      </c>
      <c r="G92" s="104"/>
      <c r="H92" s="105"/>
      <c r="I92" s="106"/>
    </row>
    <row r="93" spans="1:9" ht="15">
      <c r="A93" s="73">
        <v>13</v>
      </c>
      <c r="B93" s="15" t="s">
        <v>92</v>
      </c>
      <c r="C93" s="1" t="s">
        <v>13</v>
      </c>
      <c r="D93" s="1">
        <v>1</v>
      </c>
      <c r="E93" s="1">
        <v>42</v>
      </c>
      <c r="F93" s="1">
        <f t="shared" si="3"/>
        <v>42</v>
      </c>
      <c r="G93" s="87"/>
      <c r="H93" s="87"/>
      <c r="I93" s="84"/>
    </row>
    <row r="94" spans="1:9" ht="15">
      <c r="A94" s="59">
        <v>8</v>
      </c>
      <c r="B94" s="86" t="s">
        <v>179</v>
      </c>
      <c r="C94" s="1" t="s">
        <v>13</v>
      </c>
      <c r="D94" s="1">
        <f>SUM(D95:D108)</f>
        <v>24</v>
      </c>
      <c r="E94" s="87">
        <f>SUM(E95:E108)</f>
        <v>11271.54</v>
      </c>
      <c r="F94" s="87">
        <f>E94</f>
        <v>11271.54</v>
      </c>
      <c r="G94" s="87"/>
      <c r="H94" s="87"/>
      <c r="I94" s="84"/>
    </row>
    <row r="95" spans="1:9" ht="15">
      <c r="A95" s="102">
        <v>1</v>
      </c>
      <c r="B95" s="103" t="s">
        <v>85</v>
      </c>
      <c r="C95" s="91" t="s">
        <v>13</v>
      </c>
      <c r="D95" s="91">
        <v>1</v>
      </c>
      <c r="E95" s="91">
        <v>1870.304</v>
      </c>
      <c r="F95" s="91">
        <f>E95</f>
        <v>1870.304</v>
      </c>
      <c r="G95" s="104"/>
      <c r="H95" s="105"/>
      <c r="I95" s="106"/>
    </row>
    <row r="96" spans="1:9" ht="15">
      <c r="A96" s="102">
        <v>2</v>
      </c>
      <c r="B96" s="103" t="s">
        <v>89</v>
      </c>
      <c r="C96" s="91" t="s">
        <v>13</v>
      </c>
      <c r="D96" s="91">
        <v>1</v>
      </c>
      <c r="E96" s="91">
        <v>1416.24</v>
      </c>
      <c r="F96" s="91">
        <f>E96</f>
        <v>1416.24</v>
      </c>
      <c r="G96" s="105"/>
      <c r="H96" s="105"/>
      <c r="I96" s="106"/>
    </row>
    <row r="97" spans="1:9" ht="15">
      <c r="A97" s="102">
        <v>3</v>
      </c>
      <c r="B97" s="103" t="s">
        <v>97</v>
      </c>
      <c r="C97" s="91" t="s">
        <v>13</v>
      </c>
      <c r="D97" s="91">
        <v>1</v>
      </c>
      <c r="E97" s="91">
        <f>171*5.66</f>
        <v>967.86</v>
      </c>
      <c r="F97" s="91">
        <f>E97</f>
        <v>967.86</v>
      </c>
      <c r="G97" s="105"/>
      <c r="H97" s="105"/>
      <c r="I97" s="106"/>
    </row>
    <row r="98" spans="1:9" ht="15">
      <c r="A98" s="73">
        <v>4</v>
      </c>
      <c r="B98" s="15" t="s">
        <v>86</v>
      </c>
      <c r="C98" s="1" t="s">
        <v>13</v>
      </c>
      <c r="D98" s="1">
        <v>1</v>
      </c>
      <c r="E98" s="1">
        <v>52.5</v>
      </c>
      <c r="F98" s="1">
        <f aca="true" t="shared" si="4" ref="F98:F108">E98</f>
        <v>52.5</v>
      </c>
      <c r="G98" s="74"/>
      <c r="H98" s="87"/>
      <c r="I98" s="84"/>
    </row>
    <row r="99" spans="1:9" ht="15">
      <c r="A99" s="73">
        <v>5</v>
      </c>
      <c r="B99" s="15" t="s">
        <v>87</v>
      </c>
      <c r="C99" s="1" t="s">
        <v>13</v>
      </c>
      <c r="D99" s="1">
        <v>1</v>
      </c>
      <c r="E99" s="1">
        <v>169.9</v>
      </c>
      <c r="F99" s="1">
        <f t="shared" si="4"/>
        <v>169.9</v>
      </c>
      <c r="G99" s="74"/>
      <c r="H99" s="87"/>
      <c r="I99" s="84"/>
    </row>
    <row r="100" spans="1:9" ht="15">
      <c r="A100" s="102">
        <v>6</v>
      </c>
      <c r="B100" s="103" t="s">
        <v>88</v>
      </c>
      <c r="C100" s="91" t="s">
        <v>13</v>
      </c>
      <c r="D100" s="91">
        <v>1</v>
      </c>
      <c r="E100" s="91">
        <v>380</v>
      </c>
      <c r="F100" s="91">
        <f t="shared" si="4"/>
        <v>380</v>
      </c>
      <c r="G100" s="104"/>
      <c r="H100" s="105"/>
      <c r="I100" s="106"/>
    </row>
    <row r="101" spans="1:9" ht="15">
      <c r="A101" s="73">
        <v>7</v>
      </c>
      <c r="B101" s="15" t="s">
        <v>91</v>
      </c>
      <c r="C101" s="1" t="s">
        <v>13</v>
      </c>
      <c r="D101" s="1">
        <v>1</v>
      </c>
      <c r="E101" s="1">
        <v>107.143</v>
      </c>
      <c r="F101" s="1">
        <f t="shared" si="4"/>
        <v>107.143</v>
      </c>
      <c r="G101" s="87"/>
      <c r="H101" s="87"/>
      <c r="I101" s="84"/>
    </row>
    <row r="102" spans="1:9" ht="15">
      <c r="A102" s="102">
        <v>8</v>
      </c>
      <c r="B102" s="103" t="s">
        <v>136</v>
      </c>
      <c r="C102" s="91" t="s">
        <v>13</v>
      </c>
      <c r="D102" s="91">
        <v>2</v>
      </c>
      <c r="E102" s="91">
        <v>960</v>
      </c>
      <c r="F102" s="91">
        <f t="shared" si="4"/>
        <v>960</v>
      </c>
      <c r="G102" s="105"/>
      <c r="H102" s="105"/>
      <c r="I102" s="106"/>
    </row>
    <row r="103" spans="1:9" ht="15">
      <c r="A103" s="102">
        <v>9</v>
      </c>
      <c r="B103" s="103" t="s">
        <v>93</v>
      </c>
      <c r="C103" s="91" t="s">
        <v>13</v>
      </c>
      <c r="D103" s="91">
        <v>1</v>
      </c>
      <c r="E103" s="91">
        <v>3200</v>
      </c>
      <c r="F103" s="91">
        <f t="shared" si="4"/>
        <v>3200</v>
      </c>
      <c r="G103" s="105"/>
      <c r="H103" s="105"/>
      <c r="I103" s="106"/>
    </row>
    <row r="104" spans="1:9" ht="15">
      <c r="A104" s="73">
        <v>10</v>
      </c>
      <c r="B104" s="15" t="s">
        <v>94</v>
      </c>
      <c r="C104" s="1" t="s">
        <v>13</v>
      </c>
      <c r="D104" s="1">
        <v>1</v>
      </c>
      <c r="E104" s="1">
        <v>263.393</v>
      </c>
      <c r="F104" s="1">
        <f t="shared" si="4"/>
        <v>263.393</v>
      </c>
      <c r="G104" s="87"/>
      <c r="H104" s="87"/>
      <c r="I104" s="84"/>
    </row>
    <row r="105" spans="1:9" ht="15">
      <c r="A105" s="73">
        <v>11</v>
      </c>
      <c r="B105" s="15" t="s">
        <v>152</v>
      </c>
      <c r="C105" s="1" t="s">
        <v>13</v>
      </c>
      <c r="D105" s="1">
        <v>1</v>
      </c>
      <c r="E105" s="1">
        <v>300</v>
      </c>
      <c r="F105" s="1">
        <f t="shared" si="4"/>
        <v>300</v>
      </c>
      <c r="G105" s="87"/>
      <c r="H105" s="87"/>
      <c r="I105" s="84"/>
    </row>
    <row r="106" spans="1:9" ht="15">
      <c r="A106" s="73">
        <v>12</v>
      </c>
      <c r="B106" s="15" t="s">
        <v>133</v>
      </c>
      <c r="C106" s="1" t="s">
        <v>13</v>
      </c>
      <c r="D106" s="1">
        <v>8</v>
      </c>
      <c r="E106" s="1">
        <v>359.2</v>
      </c>
      <c r="F106" s="1">
        <f t="shared" si="4"/>
        <v>359.2</v>
      </c>
      <c r="G106" s="87"/>
      <c r="H106" s="87"/>
      <c r="I106" s="84"/>
    </row>
    <row r="107" spans="1:9" ht="15">
      <c r="A107" s="102">
        <v>13</v>
      </c>
      <c r="B107" s="103" t="s">
        <v>98</v>
      </c>
      <c r="C107" s="91" t="s">
        <v>13</v>
      </c>
      <c r="D107" s="91">
        <v>1</v>
      </c>
      <c r="E107" s="91">
        <v>250</v>
      </c>
      <c r="F107" s="91">
        <f t="shared" si="4"/>
        <v>250</v>
      </c>
      <c r="G107" s="105"/>
      <c r="H107" s="105"/>
      <c r="I107" s="106"/>
    </row>
    <row r="108" spans="1:9" ht="15">
      <c r="A108" s="73">
        <v>14</v>
      </c>
      <c r="B108" s="15" t="s">
        <v>168</v>
      </c>
      <c r="C108" s="1" t="s">
        <v>13</v>
      </c>
      <c r="D108" s="1">
        <v>3</v>
      </c>
      <c r="E108" s="1">
        <v>975</v>
      </c>
      <c r="F108" s="1">
        <f t="shared" si="4"/>
        <v>975</v>
      </c>
      <c r="G108" s="87"/>
      <c r="H108" s="87"/>
      <c r="I108" s="84"/>
    </row>
    <row r="109" spans="1:9" ht="15">
      <c r="A109" s="59">
        <v>9</v>
      </c>
      <c r="B109" s="108" t="s">
        <v>180</v>
      </c>
      <c r="C109" s="1" t="s">
        <v>13</v>
      </c>
      <c r="D109" s="1">
        <f>SUM(D110:D118)</f>
        <v>98</v>
      </c>
      <c r="E109" s="87">
        <f>SUM(E110:E118)</f>
        <v>7878.599999999999</v>
      </c>
      <c r="F109" s="87">
        <f>E109</f>
        <v>7878.599999999999</v>
      </c>
      <c r="G109" s="87"/>
      <c r="H109" s="87"/>
      <c r="I109" s="84"/>
    </row>
    <row r="110" spans="1:9" ht="15">
      <c r="A110" s="73">
        <v>1</v>
      </c>
      <c r="B110" s="15" t="s">
        <v>99</v>
      </c>
      <c r="C110" s="1" t="s">
        <v>13</v>
      </c>
      <c r="D110" s="1">
        <v>2</v>
      </c>
      <c r="E110" s="1">
        <f>550*2</f>
        <v>1100</v>
      </c>
      <c r="F110" s="1">
        <f>E110</f>
        <v>1100</v>
      </c>
      <c r="G110" s="87"/>
      <c r="H110" s="87"/>
      <c r="I110" s="84"/>
    </row>
    <row r="111" spans="1:9" ht="25.5">
      <c r="A111" s="73">
        <v>2</v>
      </c>
      <c r="B111" s="15" t="s">
        <v>146</v>
      </c>
      <c r="C111" s="1" t="s">
        <v>13</v>
      </c>
      <c r="D111" s="1">
        <f>2+3+1+5+5+5+1</f>
        <v>22</v>
      </c>
      <c r="E111" s="1">
        <f>2181.05-47.5-41.55</f>
        <v>2092</v>
      </c>
      <c r="F111" s="1">
        <f>E111</f>
        <v>2092</v>
      </c>
      <c r="G111" s="87"/>
      <c r="H111" s="87"/>
      <c r="I111" s="84"/>
    </row>
    <row r="112" spans="1:9" ht="15">
      <c r="A112" s="73">
        <v>3</v>
      </c>
      <c r="B112" s="15" t="s">
        <v>123</v>
      </c>
      <c r="C112" s="1" t="s">
        <v>13</v>
      </c>
      <c r="D112" s="1">
        <v>10</v>
      </c>
      <c r="E112" s="1">
        <v>231.9</v>
      </c>
      <c r="F112" s="1">
        <v>232</v>
      </c>
      <c r="G112" s="87"/>
      <c r="H112" s="87"/>
      <c r="I112" s="84"/>
    </row>
    <row r="113" spans="1:9" ht="15">
      <c r="A113" s="73">
        <v>4</v>
      </c>
      <c r="B113" s="15" t="s">
        <v>100</v>
      </c>
      <c r="C113" s="1" t="s">
        <v>13</v>
      </c>
      <c r="D113" s="1">
        <v>1</v>
      </c>
      <c r="E113" s="1">
        <v>198</v>
      </c>
      <c r="F113" s="1">
        <f aca="true" t="shared" si="5" ref="F113:F118">E113</f>
        <v>198</v>
      </c>
      <c r="G113" s="87"/>
      <c r="H113" s="87"/>
      <c r="I113" s="84"/>
    </row>
    <row r="114" spans="1:9" ht="15">
      <c r="A114" s="73">
        <v>5</v>
      </c>
      <c r="B114" s="15" t="s">
        <v>122</v>
      </c>
      <c r="C114" s="1" t="s">
        <v>13</v>
      </c>
      <c r="D114" s="1">
        <v>10</v>
      </c>
      <c r="E114" s="1">
        <v>249</v>
      </c>
      <c r="F114" s="1">
        <f t="shared" si="5"/>
        <v>249</v>
      </c>
      <c r="G114" s="87"/>
      <c r="H114" s="87"/>
      <c r="I114" s="84"/>
    </row>
    <row r="115" spans="1:9" ht="15">
      <c r="A115" s="73">
        <v>6</v>
      </c>
      <c r="B115" s="15" t="s">
        <v>121</v>
      </c>
      <c r="C115" s="1" t="s">
        <v>13</v>
      </c>
      <c r="D115" s="1">
        <v>30</v>
      </c>
      <c r="E115" s="1">
        <v>1950</v>
      </c>
      <c r="F115" s="1">
        <f t="shared" si="5"/>
        <v>1950</v>
      </c>
      <c r="G115" s="87"/>
      <c r="H115" s="87"/>
      <c r="I115" s="84"/>
    </row>
    <row r="116" spans="1:9" ht="15">
      <c r="A116" s="73">
        <v>7</v>
      </c>
      <c r="B116" s="15" t="s">
        <v>120</v>
      </c>
      <c r="C116" s="1" t="s">
        <v>13</v>
      </c>
      <c r="D116" s="1">
        <v>10</v>
      </c>
      <c r="E116" s="1">
        <v>234</v>
      </c>
      <c r="F116" s="1">
        <f t="shared" si="5"/>
        <v>234</v>
      </c>
      <c r="G116" s="87"/>
      <c r="H116" s="87"/>
      <c r="I116" s="84"/>
    </row>
    <row r="117" spans="1:9" ht="15">
      <c r="A117" s="73">
        <v>8</v>
      </c>
      <c r="B117" s="15" t="s">
        <v>119</v>
      </c>
      <c r="C117" s="1" t="s">
        <v>13</v>
      </c>
      <c r="D117" s="1">
        <v>10</v>
      </c>
      <c r="E117" s="1">
        <v>252</v>
      </c>
      <c r="F117" s="1">
        <f t="shared" si="5"/>
        <v>252</v>
      </c>
      <c r="G117" s="87"/>
      <c r="H117" s="87"/>
      <c r="I117" s="84"/>
    </row>
    <row r="118" spans="1:9" ht="15">
      <c r="A118" s="73">
        <v>9</v>
      </c>
      <c r="B118" s="15" t="s">
        <v>147</v>
      </c>
      <c r="C118" s="1" t="s">
        <v>13</v>
      </c>
      <c r="D118" s="1">
        <v>3</v>
      </c>
      <c r="E118" s="1">
        <v>1571.7</v>
      </c>
      <c r="F118" s="1">
        <f t="shared" si="5"/>
        <v>1571.7</v>
      </c>
      <c r="G118" s="87"/>
      <c r="H118" s="87"/>
      <c r="I118" s="84"/>
    </row>
    <row r="119" spans="1:9" ht="15">
      <c r="A119" s="59">
        <v>10</v>
      </c>
      <c r="B119" s="86" t="s">
        <v>182</v>
      </c>
      <c r="C119" s="1" t="s">
        <v>13</v>
      </c>
      <c r="D119" s="1">
        <v>3</v>
      </c>
      <c r="E119" s="87">
        <f>E120</f>
        <v>1349.25</v>
      </c>
      <c r="F119" s="87">
        <f>F120</f>
        <v>1349.25</v>
      </c>
      <c r="G119" s="87"/>
      <c r="H119" s="87"/>
      <c r="I119" s="84"/>
    </row>
    <row r="120" spans="1:9" ht="15">
      <c r="A120" s="73">
        <v>1</v>
      </c>
      <c r="B120" s="15" t="s">
        <v>144</v>
      </c>
      <c r="C120" s="1" t="s">
        <v>13</v>
      </c>
      <c r="D120" s="1">
        <v>3</v>
      </c>
      <c r="E120" s="1">
        <v>1349.25</v>
      </c>
      <c r="F120" s="1">
        <f>E120</f>
        <v>1349.25</v>
      </c>
      <c r="G120" s="87"/>
      <c r="H120" s="87"/>
      <c r="I120" s="84"/>
    </row>
    <row r="121" spans="1:9" ht="15">
      <c r="A121" s="59">
        <v>11</v>
      </c>
      <c r="B121" s="86" t="s">
        <v>181</v>
      </c>
      <c r="C121" s="1" t="s">
        <v>13</v>
      </c>
      <c r="D121" s="1">
        <f>SUM(D122:D131)</f>
        <v>10</v>
      </c>
      <c r="E121" s="87">
        <f>SUM(E122:E131)</f>
        <v>12366.518</v>
      </c>
      <c r="F121" s="87">
        <f>E121</f>
        <v>12366.518</v>
      </c>
      <c r="G121" s="87"/>
      <c r="H121" s="87"/>
      <c r="I121" s="84"/>
    </row>
    <row r="122" spans="1:9" ht="15">
      <c r="A122" s="73">
        <v>1</v>
      </c>
      <c r="B122" s="15" t="s">
        <v>101</v>
      </c>
      <c r="C122" s="1" t="s">
        <v>13</v>
      </c>
      <c r="D122" s="1">
        <v>1</v>
      </c>
      <c r="E122" s="1">
        <v>200.893</v>
      </c>
      <c r="F122" s="1">
        <v>200.893</v>
      </c>
      <c r="G122" s="1"/>
      <c r="H122" s="1"/>
      <c r="I122" s="5"/>
    </row>
    <row r="123" spans="1:9" ht="15">
      <c r="A123" s="73">
        <v>2</v>
      </c>
      <c r="B123" s="15" t="s">
        <v>101</v>
      </c>
      <c r="C123" s="1" t="s">
        <v>13</v>
      </c>
      <c r="D123" s="1">
        <v>1</v>
      </c>
      <c r="E123" s="1">
        <v>140.625</v>
      </c>
      <c r="F123" s="1">
        <v>140.625</v>
      </c>
      <c r="G123" s="1"/>
      <c r="H123" s="1"/>
      <c r="I123" s="5"/>
    </row>
    <row r="124" spans="1:9" ht="15">
      <c r="A124" s="102">
        <v>3</v>
      </c>
      <c r="B124" s="103" t="s">
        <v>102</v>
      </c>
      <c r="C124" s="91" t="s">
        <v>13</v>
      </c>
      <c r="D124" s="91">
        <v>1</v>
      </c>
      <c r="E124" s="91">
        <v>585</v>
      </c>
      <c r="F124" s="91">
        <v>585</v>
      </c>
      <c r="G124" s="91"/>
      <c r="H124" s="91"/>
      <c r="I124" s="90"/>
    </row>
    <row r="125" spans="1:9" ht="15">
      <c r="A125" s="102">
        <v>4</v>
      </c>
      <c r="B125" s="103" t="s">
        <v>103</v>
      </c>
      <c r="C125" s="91" t="s">
        <v>111</v>
      </c>
      <c r="D125" s="91">
        <v>1</v>
      </c>
      <c r="E125" s="91">
        <v>420</v>
      </c>
      <c r="F125" s="91">
        <v>420</v>
      </c>
      <c r="G125" s="91"/>
      <c r="H125" s="91"/>
      <c r="I125" s="90"/>
    </row>
    <row r="126" spans="1:9" ht="15">
      <c r="A126" s="102">
        <v>5</v>
      </c>
      <c r="B126" s="103" t="s">
        <v>104</v>
      </c>
      <c r="C126" s="91" t="s">
        <v>111</v>
      </c>
      <c r="D126" s="91">
        <v>1</v>
      </c>
      <c r="E126" s="91">
        <v>320</v>
      </c>
      <c r="F126" s="91">
        <v>320</v>
      </c>
      <c r="G126" s="91"/>
      <c r="H126" s="91"/>
      <c r="I126" s="90"/>
    </row>
    <row r="127" spans="1:9" ht="15">
      <c r="A127" s="102">
        <v>6</v>
      </c>
      <c r="B127" s="103" t="s">
        <v>105</v>
      </c>
      <c r="C127" s="91" t="s">
        <v>111</v>
      </c>
      <c r="D127" s="91">
        <v>1</v>
      </c>
      <c r="E127" s="91">
        <v>650</v>
      </c>
      <c r="F127" s="91">
        <v>650</v>
      </c>
      <c r="G127" s="91"/>
      <c r="H127" s="91"/>
      <c r="I127" s="90"/>
    </row>
    <row r="128" spans="1:9" ht="15">
      <c r="A128" s="73">
        <v>7</v>
      </c>
      <c r="B128" s="15" t="s">
        <v>106</v>
      </c>
      <c r="C128" s="1" t="s">
        <v>111</v>
      </c>
      <c r="D128" s="1">
        <v>1</v>
      </c>
      <c r="E128" s="1">
        <v>216</v>
      </c>
      <c r="F128" s="1">
        <v>216</v>
      </c>
      <c r="G128" s="1"/>
      <c r="H128" s="1"/>
      <c r="I128" s="5"/>
    </row>
    <row r="129" spans="1:9" ht="15">
      <c r="A129" s="73">
        <v>8</v>
      </c>
      <c r="B129" s="15" t="s">
        <v>107</v>
      </c>
      <c r="C129" s="1" t="s">
        <v>13</v>
      </c>
      <c r="D129" s="1">
        <v>1</v>
      </c>
      <c r="E129" s="1">
        <v>458</v>
      </c>
      <c r="F129" s="1">
        <v>458</v>
      </c>
      <c r="G129" s="1"/>
      <c r="H129" s="1"/>
      <c r="I129" s="5"/>
    </row>
    <row r="130" spans="1:9" ht="15">
      <c r="A130" s="73">
        <v>9</v>
      </c>
      <c r="B130" s="15" t="s">
        <v>108</v>
      </c>
      <c r="C130" s="1" t="s">
        <v>109</v>
      </c>
      <c r="D130" s="1">
        <v>1</v>
      </c>
      <c r="E130" s="1">
        <v>4800</v>
      </c>
      <c r="F130" s="1">
        <v>4800</v>
      </c>
      <c r="G130" s="1"/>
      <c r="H130" s="1"/>
      <c r="I130" s="5"/>
    </row>
    <row r="131" spans="1:9" ht="15">
      <c r="A131" s="73">
        <v>10</v>
      </c>
      <c r="B131" s="15" t="s">
        <v>149</v>
      </c>
      <c r="C131" s="1" t="s">
        <v>111</v>
      </c>
      <c r="D131" s="1">
        <v>1</v>
      </c>
      <c r="E131" s="1">
        <v>4576</v>
      </c>
      <c r="F131" s="1">
        <f>E131</f>
        <v>4576</v>
      </c>
      <c r="G131" s="1"/>
      <c r="H131" s="1"/>
      <c r="I131" s="5"/>
    </row>
    <row r="132" spans="1:9" ht="15">
      <c r="A132" s="59">
        <v>12</v>
      </c>
      <c r="B132" s="86" t="s">
        <v>116</v>
      </c>
      <c r="C132" s="1" t="s">
        <v>13</v>
      </c>
      <c r="D132" s="1">
        <v>1</v>
      </c>
      <c r="E132" s="87">
        <f>E133</f>
        <v>1127.48</v>
      </c>
      <c r="F132" s="87">
        <f>F133</f>
        <v>1127.48</v>
      </c>
      <c r="G132" s="1"/>
      <c r="H132" s="1"/>
      <c r="I132" s="5"/>
    </row>
    <row r="133" spans="1:9" ht="15">
      <c r="A133" s="107">
        <v>1</v>
      </c>
      <c r="B133" s="103" t="s">
        <v>117</v>
      </c>
      <c r="C133" s="91"/>
      <c r="D133" s="91">
        <v>1</v>
      </c>
      <c r="E133" s="91">
        <f>1127.48</f>
        <v>1127.48</v>
      </c>
      <c r="F133" s="91">
        <f>1127.48</f>
        <v>1127.48</v>
      </c>
      <c r="G133" s="91"/>
      <c r="H133" s="91"/>
      <c r="I133" s="90"/>
    </row>
    <row r="134" spans="1:9" ht="15">
      <c r="A134" s="84"/>
      <c r="B134" s="84" t="s">
        <v>34</v>
      </c>
      <c r="C134" s="87"/>
      <c r="D134" s="87"/>
      <c r="E134" s="87">
        <f>E51+E62+E63+E67+E73+E75+E80+E94+E109+E119+E121+E132</f>
        <v>239355.78557142857</v>
      </c>
      <c r="F134" s="87">
        <f>E134</f>
        <v>239355.78557142857</v>
      </c>
      <c r="G134" s="87"/>
      <c r="H134" s="87"/>
      <c r="I134" s="84"/>
    </row>
    <row r="135" spans="1:9" ht="15">
      <c r="A135" s="84"/>
      <c r="B135" s="84" t="s">
        <v>18</v>
      </c>
      <c r="C135" s="87"/>
      <c r="D135" s="87"/>
      <c r="E135" s="87">
        <f>3986</f>
        <v>3986</v>
      </c>
      <c r="F135" s="87">
        <f>E135</f>
        <v>3986</v>
      </c>
      <c r="G135" s="87"/>
      <c r="H135" s="87"/>
      <c r="I135" s="84"/>
    </row>
    <row r="136" spans="1:9" ht="15">
      <c r="A136" s="84"/>
      <c r="B136" s="84" t="s">
        <v>19</v>
      </c>
      <c r="C136" s="87"/>
      <c r="D136" s="87"/>
      <c r="E136" s="38">
        <v>235370</v>
      </c>
      <c r="F136" s="38">
        <f>E136</f>
        <v>235370</v>
      </c>
      <c r="G136" s="87"/>
      <c r="H136" s="87"/>
      <c r="I136" s="84"/>
    </row>
    <row r="137" spans="1:9" ht="15">
      <c r="A137" s="84"/>
      <c r="B137" s="84" t="s">
        <v>9</v>
      </c>
      <c r="C137" s="87"/>
      <c r="D137" s="87"/>
      <c r="E137" s="87">
        <f>128964+E135</f>
        <v>132950</v>
      </c>
      <c r="F137" s="87">
        <f>E137</f>
        <v>132950</v>
      </c>
      <c r="G137" s="87"/>
      <c r="H137" s="87"/>
      <c r="I137" s="84"/>
    </row>
    <row r="138" spans="1:9" ht="15">
      <c r="A138" s="84"/>
      <c r="B138" s="84" t="s">
        <v>10</v>
      </c>
      <c r="C138" s="87"/>
      <c r="D138" s="87"/>
      <c r="E138" s="87">
        <v>106406</v>
      </c>
      <c r="F138" s="87">
        <f>E138</f>
        <v>106406</v>
      </c>
      <c r="G138" s="87"/>
      <c r="H138" s="87"/>
      <c r="I138" s="84"/>
    </row>
    <row r="139" spans="1:9" ht="15">
      <c r="A139" s="143" t="s">
        <v>32</v>
      </c>
      <c r="B139" s="143"/>
      <c r="C139" s="143"/>
      <c r="D139" s="143"/>
      <c r="E139" s="143"/>
      <c r="F139" s="143"/>
      <c r="G139" s="143"/>
      <c r="H139" s="143"/>
      <c r="I139" s="143"/>
    </row>
    <row r="140" spans="1:9" ht="15">
      <c r="A140" s="142" t="s">
        <v>33</v>
      </c>
      <c r="B140" s="142"/>
      <c r="C140" s="1"/>
      <c r="D140" s="1"/>
      <c r="E140" s="87">
        <f>E141+E142</f>
        <v>2396825.321</v>
      </c>
      <c r="F140" s="87">
        <f>F141+F142</f>
        <v>139584.321</v>
      </c>
      <c r="G140" s="87">
        <f>G152</f>
        <v>1250511.5</v>
      </c>
      <c r="H140" s="87">
        <f>H152</f>
        <v>1006729</v>
      </c>
      <c r="I140" s="84"/>
    </row>
    <row r="141" spans="1:9" ht="15">
      <c r="A141" s="87"/>
      <c r="B141" s="84" t="s">
        <v>9</v>
      </c>
      <c r="C141" s="1"/>
      <c r="D141" s="1"/>
      <c r="E141" s="87">
        <f>E144+E150+E151</f>
        <v>2356337.321</v>
      </c>
      <c r="F141" s="87">
        <f>E145</f>
        <v>99096.321</v>
      </c>
      <c r="G141" s="87">
        <f>G140</f>
        <v>1250511.5</v>
      </c>
      <c r="H141" s="87">
        <f>H140</f>
        <v>1006729</v>
      </c>
      <c r="I141" s="3"/>
    </row>
    <row r="142" spans="1:9" ht="15">
      <c r="A142" s="87"/>
      <c r="B142" s="84" t="s">
        <v>10</v>
      </c>
      <c r="C142" s="1"/>
      <c r="D142" s="1"/>
      <c r="E142" s="87">
        <f>E147</f>
        <v>40488</v>
      </c>
      <c r="F142" s="87">
        <f>E142</f>
        <v>40488</v>
      </c>
      <c r="G142" s="87">
        <v>0</v>
      </c>
      <c r="H142" s="87">
        <v>0</v>
      </c>
      <c r="I142" s="3"/>
    </row>
    <row r="143" spans="1:9" ht="15">
      <c r="A143" s="142" t="s">
        <v>11</v>
      </c>
      <c r="B143" s="142"/>
      <c r="C143" s="142"/>
      <c r="D143" s="142"/>
      <c r="E143" s="142"/>
      <c r="F143" s="142"/>
      <c r="G143" s="142"/>
      <c r="H143" s="142"/>
      <c r="I143" s="142"/>
    </row>
    <row r="144" spans="1:9" ht="38.25">
      <c r="A144" s="1">
        <v>1</v>
      </c>
      <c r="B144" s="14" t="s">
        <v>58</v>
      </c>
      <c r="C144" s="5" t="s">
        <v>12</v>
      </c>
      <c r="D144" s="1">
        <v>385</v>
      </c>
      <c r="E144" s="1">
        <v>99096.321</v>
      </c>
      <c r="F144" s="4">
        <f>E144</f>
        <v>99096.321</v>
      </c>
      <c r="G144" s="6"/>
      <c r="H144" s="6"/>
      <c r="I144" s="3"/>
    </row>
    <row r="145" spans="1:9" ht="15">
      <c r="A145" s="142" t="s">
        <v>14</v>
      </c>
      <c r="B145" s="142"/>
      <c r="C145" s="1"/>
      <c r="D145" s="87"/>
      <c r="E145" s="87">
        <f>SUM(E144:E144)</f>
        <v>99096.321</v>
      </c>
      <c r="F145" s="87">
        <f>E145</f>
        <v>99096.321</v>
      </c>
      <c r="G145" s="87"/>
      <c r="H145" s="6"/>
      <c r="I145" s="3"/>
    </row>
    <row r="146" spans="1:9" ht="15">
      <c r="A146" s="142" t="s">
        <v>15</v>
      </c>
      <c r="B146" s="142"/>
      <c r="C146" s="142"/>
      <c r="D146" s="142"/>
      <c r="E146" s="142"/>
      <c r="F146" s="142"/>
      <c r="G146" s="142"/>
      <c r="H146" s="142"/>
      <c r="I146" s="142"/>
    </row>
    <row r="147" spans="1:9" ht="25.5">
      <c r="A147" s="1">
        <v>2</v>
      </c>
      <c r="B147" s="14" t="s">
        <v>59</v>
      </c>
      <c r="C147" s="5" t="s">
        <v>12</v>
      </c>
      <c r="D147" s="1">
        <v>443</v>
      </c>
      <c r="E147" s="1">
        <v>40488</v>
      </c>
      <c r="F147" s="4">
        <f>E147</f>
        <v>40488</v>
      </c>
      <c r="G147" s="6"/>
      <c r="H147" s="6"/>
      <c r="I147" s="3"/>
    </row>
    <row r="148" spans="1:9" ht="15">
      <c r="A148" s="142" t="s">
        <v>16</v>
      </c>
      <c r="B148" s="142"/>
      <c r="C148" s="87"/>
      <c r="D148" s="87"/>
      <c r="E148" s="87">
        <f>SUM(E147:E147)</f>
        <v>40488</v>
      </c>
      <c r="F148" s="87">
        <f>E148</f>
        <v>40488</v>
      </c>
      <c r="G148" s="87"/>
      <c r="H148" s="6"/>
      <c r="I148" s="3"/>
    </row>
    <row r="149" spans="1:9" ht="15">
      <c r="A149" s="142" t="s">
        <v>174</v>
      </c>
      <c r="B149" s="142"/>
      <c r="C149" s="142"/>
      <c r="D149" s="142"/>
      <c r="E149" s="142"/>
      <c r="F149" s="142"/>
      <c r="G149" s="142"/>
      <c r="H149" s="142"/>
      <c r="I149" s="142"/>
    </row>
    <row r="150" spans="1:9" ht="15">
      <c r="A150" s="17">
        <v>1</v>
      </c>
      <c r="B150" s="15" t="s">
        <v>175</v>
      </c>
      <c r="C150" s="24" t="s">
        <v>177</v>
      </c>
      <c r="D150" s="1">
        <v>1</v>
      </c>
      <c r="E150" s="1">
        <f>1071429-24887</f>
        <v>1046542</v>
      </c>
      <c r="F150" s="1">
        <v>0</v>
      </c>
      <c r="G150" s="1">
        <f>593572-13787-0.5</f>
        <v>579784.5</v>
      </c>
      <c r="H150" s="1">
        <f>477857-11100</f>
        <v>466757</v>
      </c>
      <c r="I150" s="3"/>
    </row>
    <row r="151" spans="1:9" ht="15">
      <c r="A151" s="17">
        <v>2</v>
      </c>
      <c r="B151" s="47" t="s">
        <v>176</v>
      </c>
      <c r="C151" s="24" t="s">
        <v>177</v>
      </c>
      <c r="D151" s="1">
        <v>1</v>
      </c>
      <c r="E151" s="1">
        <v>1210699</v>
      </c>
      <c r="F151" s="1">
        <v>0</v>
      </c>
      <c r="G151" s="1">
        <f>702879-32152</f>
        <v>670727</v>
      </c>
      <c r="H151" s="1">
        <f>565855-25883</f>
        <v>539972</v>
      </c>
      <c r="I151" s="3"/>
    </row>
    <row r="152" spans="1:9" ht="15">
      <c r="A152" s="142" t="s">
        <v>178</v>
      </c>
      <c r="B152" s="142"/>
      <c r="C152" s="72"/>
      <c r="D152" s="72"/>
      <c r="E152" s="87">
        <f>E151+E150</f>
        <v>2257241</v>
      </c>
      <c r="F152" s="87">
        <f>F151+F150</f>
        <v>0</v>
      </c>
      <c r="G152" s="87">
        <f>G151+G150</f>
        <v>1250511.5</v>
      </c>
      <c r="H152" s="87">
        <f>H151+H150</f>
        <v>1006729</v>
      </c>
      <c r="I152" s="72"/>
    </row>
    <row r="153" spans="1:9" ht="15">
      <c r="A153" s="84"/>
      <c r="B153" s="84" t="s">
        <v>36</v>
      </c>
      <c r="C153" s="87"/>
      <c r="D153" s="87"/>
      <c r="E153" s="87">
        <f>E140</f>
        <v>2396825.321</v>
      </c>
      <c r="F153" s="87">
        <f>F140</f>
        <v>139584.321</v>
      </c>
      <c r="G153" s="87"/>
      <c r="H153" s="87"/>
      <c r="I153" s="84"/>
    </row>
    <row r="154" spans="1:9" ht="15">
      <c r="A154" s="84"/>
      <c r="B154" s="84" t="s">
        <v>18</v>
      </c>
      <c r="C154" s="87"/>
      <c r="D154" s="87"/>
      <c r="E154" s="87"/>
      <c r="F154" s="36"/>
      <c r="G154" s="87"/>
      <c r="H154" s="87"/>
      <c r="I154" s="84"/>
    </row>
    <row r="155" spans="1:9" ht="15">
      <c r="A155" s="84"/>
      <c r="B155" s="84" t="s">
        <v>19</v>
      </c>
      <c r="C155" s="87"/>
      <c r="D155" s="87"/>
      <c r="E155" s="38">
        <f>E144+E147</f>
        <v>139584.321</v>
      </c>
      <c r="F155" s="38">
        <v>139584</v>
      </c>
      <c r="G155" s="87"/>
      <c r="H155" s="87"/>
      <c r="I155" s="84"/>
    </row>
    <row r="156" spans="1:9" ht="15">
      <c r="A156" s="84"/>
      <c r="B156" s="84" t="s">
        <v>20</v>
      </c>
      <c r="C156" s="87"/>
      <c r="D156" s="87"/>
      <c r="E156" s="38">
        <f>G150+G151</f>
        <v>1250511.5</v>
      </c>
      <c r="F156" s="38"/>
      <c r="G156" s="1">
        <f>G152</f>
        <v>1250511.5</v>
      </c>
      <c r="H156" s="1"/>
      <c r="I156" s="84"/>
    </row>
    <row r="157" spans="1:9" ht="15">
      <c r="A157" s="84"/>
      <c r="B157" s="84" t="s">
        <v>8</v>
      </c>
      <c r="C157" s="87"/>
      <c r="D157" s="87"/>
      <c r="E157" s="38">
        <f>H150+H151</f>
        <v>1006729</v>
      </c>
      <c r="F157" s="38"/>
      <c r="G157" s="1"/>
      <c r="H157" s="1">
        <f>H152</f>
        <v>1006729</v>
      </c>
      <c r="I157" s="84"/>
    </row>
    <row r="158" spans="1:9" ht="15">
      <c r="A158" s="84"/>
      <c r="B158" s="84" t="s">
        <v>9</v>
      </c>
      <c r="C158" s="87"/>
      <c r="D158" s="87"/>
      <c r="E158" s="87">
        <f>F158+G158+H158</f>
        <v>2356336.821</v>
      </c>
      <c r="F158" s="87">
        <f>F141</f>
        <v>99096.321</v>
      </c>
      <c r="G158" s="1">
        <f>G156</f>
        <v>1250511.5</v>
      </c>
      <c r="H158" s="1">
        <f>H157</f>
        <v>1006729</v>
      </c>
      <c r="I158" s="84"/>
    </row>
    <row r="159" spans="1:9" ht="15">
      <c r="A159" s="84"/>
      <c r="B159" s="84" t="s">
        <v>10</v>
      </c>
      <c r="C159" s="87"/>
      <c r="D159" s="87"/>
      <c r="E159" s="87">
        <f>F159+G159+H159</f>
        <v>40488</v>
      </c>
      <c r="F159" s="87">
        <f>F142</f>
        <v>40488</v>
      </c>
      <c r="G159" s="1"/>
      <c r="H159" s="1"/>
      <c r="I159" s="84"/>
    </row>
    <row r="160" spans="1:9" ht="15">
      <c r="A160" s="143" t="s">
        <v>37</v>
      </c>
      <c r="B160" s="143"/>
      <c r="C160" s="143"/>
      <c r="D160" s="143"/>
      <c r="E160" s="143"/>
      <c r="F160" s="143"/>
      <c r="G160" s="143"/>
      <c r="H160" s="143"/>
      <c r="I160" s="143"/>
    </row>
    <row r="161" spans="1:9" ht="15">
      <c r="A161" s="142" t="s">
        <v>38</v>
      </c>
      <c r="B161" s="142"/>
      <c r="C161" s="1"/>
      <c r="D161" s="1"/>
      <c r="E161" s="87">
        <f>E162+E163</f>
        <v>163058</v>
      </c>
      <c r="F161" s="87">
        <f>F162+F163</f>
        <v>163058</v>
      </c>
      <c r="G161" s="87"/>
      <c r="H161" s="87"/>
      <c r="I161" s="84"/>
    </row>
    <row r="162" spans="1:9" ht="15">
      <c r="A162" s="87"/>
      <c r="B162" s="84" t="s">
        <v>9</v>
      </c>
      <c r="C162" s="1"/>
      <c r="D162" s="1"/>
      <c r="E162" s="87">
        <f>E166</f>
        <v>100108</v>
      </c>
      <c r="F162" s="87">
        <f>E162</f>
        <v>100108</v>
      </c>
      <c r="G162" s="87"/>
      <c r="H162" s="87"/>
      <c r="I162" s="3"/>
    </row>
    <row r="163" spans="1:9" ht="15">
      <c r="A163" s="87"/>
      <c r="B163" s="84" t="s">
        <v>10</v>
      </c>
      <c r="C163" s="1"/>
      <c r="D163" s="1"/>
      <c r="E163" s="87">
        <f>E168+E171</f>
        <v>62950</v>
      </c>
      <c r="F163" s="87">
        <f>E163</f>
        <v>62950</v>
      </c>
      <c r="G163" s="87"/>
      <c r="H163" s="87"/>
      <c r="I163" s="3"/>
    </row>
    <row r="164" spans="1:9" ht="15">
      <c r="A164" s="142" t="s">
        <v>11</v>
      </c>
      <c r="B164" s="142"/>
      <c r="C164" s="142"/>
      <c r="D164" s="142"/>
      <c r="E164" s="142"/>
      <c r="F164" s="142"/>
      <c r="G164" s="142"/>
      <c r="H164" s="142"/>
      <c r="I164" s="142"/>
    </row>
    <row r="165" spans="1:9" ht="38.25">
      <c r="A165" s="1">
        <v>1</v>
      </c>
      <c r="B165" s="14" t="s">
        <v>54</v>
      </c>
      <c r="C165" s="5" t="s">
        <v>12</v>
      </c>
      <c r="D165" s="1">
        <v>238</v>
      </c>
      <c r="E165" s="1">
        <v>100108</v>
      </c>
      <c r="F165" s="4"/>
      <c r="G165" s="6"/>
      <c r="H165" s="6"/>
      <c r="I165" s="3"/>
    </row>
    <row r="166" spans="1:9" ht="15">
      <c r="A166" s="142" t="s">
        <v>14</v>
      </c>
      <c r="B166" s="142"/>
      <c r="C166" s="1"/>
      <c r="D166" s="87"/>
      <c r="E166" s="87">
        <f>SUM(E165:E165)</f>
        <v>100108</v>
      </c>
      <c r="F166" s="87">
        <f>E166</f>
        <v>100108</v>
      </c>
      <c r="G166" s="87"/>
      <c r="H166" s="6"/>
      <c r="I166" s="3"/>
    </row>
    <row r="167" spans="1:9" ht="15">
      <c r="A167" s="142" t="s">
        <v>15</v>
      </c>
      <c r="B167" s="142"/>
      <c r="C167" s="142"/>
      <c r="D167" s="142"/>
      <c r="E167" s="142"/>
      <c r="F167" s="142"/>
      <c r="G167" s="142"/>
      <c r="H167" s="142"/>
      <c r="I167" s="142"/>
    </row>
    <row r="168" spans="1:9" ht="38.25">
      <c r="A168" s="1">
        <v>3</v>
      </c>
      <c r="B168" s="14" t="s">
        <v>49</v>
      </c>
      <c r="C168" s="5" t="s">
        <v>12</v>
      </c>
      <c r="D168" s="1">
        <v>750</v>
      </c>
      <c r="E168" s="1">
        <v>33821</v>
      </c>
      <c r="F168" s="4"/>
      <c r="G168" s="6"/>
      <c r="H168" s="6"/>
      <c r="I168" s="3"/>
    </row>
    <row r="169" spans="1:9" ht="15">
      <c r="A169" s="142" t="s">
        <v>16</v>
      </c>
      <c r="B169" s="142"/>
      <c r="C169" s="87"/>
      <c r="D169" s="87"/>
      <c r="E169" s="87">
        <f>SUM(E168:E168)</f>
        <v>33821</v>
      </c>
      <c r="F169" s="87">
        <f>E169</f>
        <v>33821</v>
      </c>
      <c r="G169" s="87"/>
      <c r="H169" s="6"/>
      <c r="I169" s="3"/>
    </row>
    <row r="170" spans="1:9" ht="15">
      <c r="A170" s="142" t="s">
        <v>47</v>
      </c>
      <c r="B170" s="142"/>
      <c r="C170" s="142"/>
      <c r="D170" s="142"/>
      <c r="E170" s="142"/>
      <c r="F170" s="142"/>
      <c r="G170" s="142"/>
      <c r="H170" s="142"/>
      <c r="I170" s="142"/>
    </row>
    <row r="171" spans="1:9" ht="15">
      <c r="A171" s="1">
        <v>4</v>
      </c>
      <c r="B171" s="15" t="s">
        <v>48</v>
      </c>
      <c r="C171" s="5" t="s">
        <v>13</v>
      </c>
      <c r="D171" s="1">
        <v>1</v>
      </c>
      <c r="E171" s="1">
        <v>29129</v>
      </c>
      <c r="F171" s="1"/>
      <c r="G171" s="1"/>
      <c r="H171" s="6"/>
      <c r="I171" s="3"/>
    </row>
    <row r="172" spans="1:9" ht="15">
      <c r="A172" s="142" t="s">
        <v>57</v>
      </c>
      <c r="B172" s="142"/>
      <c r="C172" s="87"/>
      <c r="D172" s="87"/>
      <c r="E172" s="87">
        <f>SUM(E171:E171)</f>
        <v>29129</v>
      </c>
      <c r="F172" s="87">
        <f>E172</f>
        <v>29129</v>
      </c>
      <c r="G172" s="87"/>
      <c r="H172" s="6"/>
      <c r="I172" s="3"/>
    </row>
    <row r="173" spans="1:9" ht="15">
      <c r="A173" s="142"/>
      <c r="B173" s="142"/>
      <c r="C173" s="142"/>
      <c r="D173" s="142"/>
      <c r="E173" s="142"/>
      <c r="F173" s="142"/>
      <c r="G173" s="142"/>
      <c r="H173" s="142"/>
      <c r="I173" s="142"/>
    </row>
    <row r="174" spans="1:9" ht="15">
      <c r="A174" s="84"/>
      <c r="B174" s="84" t="s">
        <v>39</v>
      </c>
      <c r="C174" s="87"/>
      <c r="D174" s="87"/>
      <c r="E174" s="87">
        <f>E166+E169+E172</f>
        <v>163058</v>
      </c>
      <c r="F174" s="87">
        <f>F166+F169+F172</f>
        <v>163058</v>
      </c>
      <c r="G174" s="87"/>
      <c r="H174" s="87"/>
      <c r="I174" s="84"/>
    </row>
    <row r="175" spans="1:9" ht="15">
      <c r="A175" s="84"/>
      <c r="B175" s="84" t="s">
        <v>18</v>
      </c>
      <c r="C175" s="87"/>
      <c r="D175" s="87"/>
      <c r="E175" s="87"/>
      <c r="F175" s="36"/>
      <c r="G175" s="87"/>
      <c r="H175" s="87"/>
      <c r="I175" s="84"/>
    </row>
    <row r="176" spans="1:9" ht="15">
      <c r="A176" s="84"/>
      <c r="B176" s="84" t="s">
        <v>19</v>
      </c>
      <c r="C176" s="87"/>
      <c r="D176" s="87"/>
      <c r="E176" s="38">
        <f>F176</f>
        <v>163058</v>
      </c>
      <c r="F176" s="38">
        <f>F174</f>
        <v>163058</v>
      </c>
      <c r="G176" s="87"/>
      <c r="H176" s="87"/>
      <c r="I176" s="84"/>
    </row>
    <row r="177" spans="1:9" ht="15">
      <c r="A177" s="84"/>
      <c r="B177" s="84" t="s">
        <v>9</v>
      </c>
      <c r="C177" s="87"/>
      <c r="D177" s="87"/>
      <c r="E177" s="87">
        <f>F177</f>
        <v>100108</v>
      </c>
      <c r="F177" s="87">
        <f>F162</f>
        <v>100108</v>
      </c>
      <c r="G177" s="87"/>
      <c r="H177" s="87"/>
      <c r="I177" s="84"/>
    </row>
    <row r="178" spans="1:9" ht="15">
      <c r="A178" s="84"/>
      <c r="B178" s="84" t="s">
        <v>10</v>
      </c>
      <c r="C178" s="87"/>
      <c r="D178" s="87"/>
      <c r="E178" s="87">
        <f>F178</f>
        <v>62950</v>
      </c>
      <c r="F178" s="87">
        <f>F163</f>
        <v>62950</v>
      </c>
      <c r="G178" s="87"/>
      <c r="H178" s="87"/>
      <c r="I178" s="84"/>
    </row>
    <row r="179" spans="1:9" ht="15">
      <c r="A179" s="143" t="s">
        <v>40</v>
      </c>
      <c r="B179" s="143"/>
      <c r="C179" s="143"/>
      <c r="D179" s="143"/>
      <c r="E179" s="143"/>
      <c r="F179" s="143"/>
      <c r="G179" s="143"/>
      <c r="H179" s="143"/>
      <c r="I179" s="143"/>
    </row>
    <row r="180" spans="1:9" ht="15">
      <c r="A180" s="142" t="s">
        <v>41</v>
      </c>
      <c r="B180" s="142"/>
      <c r="C180" s="1"/>
      <c r="D180" s="1"/>
      <c r="E180" s="87">
        <f>E181+E182</f>
        <v>192998</v>
      </c>
      <c r="F180" s="87">
        <f>F181+F182</f>
        <v>192998</v>
      </c>
      <c r="G180" s="87"/>
      <c r="H180" s="87"/>
      <c r="I180" s="84"/>
    </row>
    <row r="181" spans="1:9" ht="15">
      <c r="A181" s="87"/>
      <c r="B181" s="84" t="s">
        <v>9</v>
      </c>
      <c r="C181" s="1"/>
      <c r="D181" s="1"/>
      <c r="E181" s="87">
        <f>E184+E191</f>
        <v>161890</v>
      </c>
      <c r="F181" s="87">
        <f>E181</f>
        <v>161890</v>
      </c>
      <c r="G181" s="87"/>
      <c r="H181" s="87"/>
      <c r="I181" s="3"/>
    </row>
    <row r="182" spans="1:9" ht="15">
      <c r="A182" s="87"/>
      <c r="B182" s="84" t="s">
        <v>10</v>
      </c>
      <c r="C182" s="1"/>
      <c r="D182" s="1"/>
      <c r="E182" s="87">
        <f>E187</f>
        <v>31108</v>
      </c>
      <c r="F182" s="87">
        <f>E182</f>
        <v>31108</v>
      </c>
      <c r="G182" s="87"/>
      <c r="H182" s="87"/>
      <c r="I182" s="3"/>
    </row>
    <row r="183" spans="1:9" ht="15">
      <c r="A183" s="142" t="s">
        <v>11</v>
      </c>
      <c r="B183" s="142"/>
      <c r="C183" s="142"/>
      <c r="D183" s="142"/>
      <c r="E183" s="142"/>
      <c r="F183" s="142"/>
      <c r="G183" s="142"/>
      <c r="H183" s="142"/>
      <c r="I183" s="142"/>
    </row>
    <row r="184" spans="1:9" ht="38.25">
      <c r="A184" s="1">
        <v>1</v>
      </c>
      <c r="B184" s="15" t="s">
        <v>50</v>
      </c>
      <c r="C184" s="5" t="s">
        <v>12</v>
      </c>
      <c r="D184" s="1">
        <v>2050</v>
      </c>
      <c r="E184" s="1">
        <v>100572</v>
      </c>
      <c r="F184" s="1"/>
      <c r="G184" s="1"/>
      <c r="H184" s="6"/>
      <c r="I184" s="3"/>
    </row>
    <row r="185" spans="1:9" ht="15">
      <c r="A185" s="142" t="s">
        <v>14</v>
      </c>
      <c r="B185" s="142"/>
      <c r="C185" s="1"/>
      <c r="D185" s="87"/>
      <c r="E185" s="87">
        <f>SUM(E184:E184)</f>
        <v>100572</v>
      </c>
      <c r="F185" s="87">
        <f>E185</f>
        <v>100572</v>
      </c>
      <c r="G185" s="87"/>
      <c r="H185" s="6"/>
      <c r="I185" s="3"/>
    </row>
    <row r="186" spans="1:9" ht="15">
      <c r="A186" s="142" t="s">
        <v>15</v>
      </c>
      <c r="B186" s="142"/>
      <c r="C186" s="142"/>
      <c r="D186" s="142"/>
      <c r="E186" s="142"/>
      <c r="F186" s="142"/>
      <c r="G186" s="142"/>
      <c r="H186" s="142"/>
      <c r="I186" s="142"/>
    </row>
    <row r="187" spans="1:9" ht="38.25">
      <c r="A187" s="1">
        <v>2</v>
      </c>
      <c r="B187" s="15" t="s">
        <v>51</v>
      </c>
      <c r="C187" s="5" t="s">
        <v>12</v>
      </c>
      <c r="D187" s="1">
        <v>670</v>
      </c>
      <c r="E187" s="1">
        <v>31108</v>
      </c>
      <c r="F187" s="1"/>
      <c r="G187" s="1"/>
      <c r="H187" s="6"/>
      <c r="I187" s="3"/>
    </row>
    <row r="188" spans="1:9" ht="15">
      <c r="A188" s="142" t="s">
        <v>16</v>
      </c>
      <c r="B188" s="142"/>
      <c r="C188" s="87"/>
      <c r="D188" s="87"/>
      <c r="E188" s="87">
        <f>SUM(E187:E187)</f>
        <v>31108</v>
      </c>
      <c r="F188" s="87">
        <f>E188</f>
        <v>31108</v>
      </c>
      <c r="G188" s="87"/>
      <c r="H188" s="6"/>
      <c r="I188" s="3"/>
    </row>
    <row r="189" spans="1:9" ht="15">
      <c r="A189" s="142" t="s">
        <v>21</v>
      </c>
      <c r="B189" s="142"/>
      <c r="C189" s="142"/>
      <c r="D189" s="142"/>
      <c r="E189" s="142"/>
      <c r="F189" s="142"/>
      <c r="G189" s="142"/>
      <c r="H189" s="142"/>
      <c r="I189" s="142"/>
    </row>
    <row r="190" spans="1:9" ht="25.5">
      <c r="A190" s="1">
        <v>3</v>
      </c>
      <c r="B190" s="15" t="s">
        <v>46</v>
      </c>
      <c r="C190" s="1" t="s">
        <v>56</v>
      </c>
      <c r="D190" s="1">
        <v>1</v>
      </c>
      <c r="E190" s="1">
        <v>61318</v>
      </c>
      <c r="F190" s="1"/>
      <c r="G190" s="1"/>
      <c r="H190" s="6"/>
      <c r="I190" s="3"/>
    </row>
    <row r="191" spans="1:9" ht="15">
      <c r="A191" s="142" t="s">
        <v>22</v>
      </c>
      <c r="B191" s="142"/>
      <c r="C191" s="87"/>
      <c r="D191" s="87"/>
      <c r="E191" s="87">
        <f>SUM(E190:E190)</f>
        <v>61318</v>
      </c>
      <c r="F191" s="87">
        <f>E191</f>
        <v>61318</v>
      </c>
      <c r="G191" s="87"/>
      <c r="H191" s="6"/>
      <c r="I191" s="3"/>
    </row>
    <row r="192" spans="1:9" ht="15">
      <c r="A192" s="84"/>
      <c r="B192" s="84" t="s">
        <v>42</v>
      </c>
      <c r="C192" s="87"/>
      <c r="D192" s="87"/>
      <c r="E192" s="87">
        <f>E180</f>
        <v>192998</v>
      </c>
      <c r="F192" s="87">
        <f>F180</f>
        <v>192998</v>
      </c>
      <c r="G192" s="87"/>
      <c r="H192" s="87"/>
      <c r="I192" s="84"/>
    </row>
    <row r="193" spans="1:9" ht="15">
      <c r="A193" s="84"/>
      <c r="B193" s="84" t="s">
        <v>18</v>
      </c>
      <c r="C193" s="87"/>
      <c r="D193" s="87"/>
      <c r="E193" s="87"/>
      <c r="F193" s="36"/>
      <c r="G193" s="87"/>
      <c r="H193" s="87"/>
      <c r="I193" s="84"/>
    </row>
    <row r="194" spans="1:9" ht="15">
      <c r="A194" s="84"/>
      <c r="B194" s="84" t="s">
        <v>19</v>
      </c>
      <c r="C194" s="87"/>
      <c r="D194" s="87"/>
      <c r="E194" s="38">
        <f>F194</f>
        <v>192998</v>
      </c>
      <c r="F194" s="38">
        <f>F192</f>
        <v>192998</v>
      </c>
      <c r="G194" s="87"/>
      <c r="H194" s="87"/>
      <c r="I194" s="84"/>
    </row>
    <row r="195" spans="1:9" ht="15">
      <c r="A195" s="84"/>
      <c r="B195" s="84" t="s">
        <v>9</v>
      </c>
      <c r="C195" s="87"/>
      <c r="D195" s="87"/>
      <c r="E195" s="87">
        <f>F195</f>
        <v>161890</v>
      </c>
      <c r="F195" s="87">
        <f>F181</f>
        <v>161890</v>
      </c>
      <c r="G195" s="87"/>
      <c r="H195" s="87"/>
      <c r="I195" s="84"/>
    </row>
    <row r="196" spans="1:9" ht="15">
      <c r="A196" s="84"/>
      <c r="B196" s="84" t="s">
        <v>10</v>
      </c>
      <c r="C196" s="87"/>
      <c r="D196" s="87"/>
      <c r="E196" s="87">
        <f>F196</f>
        <v>31108</v>
      </c>
      <c r="F196" s="87">
        <f>F182</f>
        <v>31108</v>
      </c>
      <c r="G196" s="87"/>
      <c r="H196" s="87"/>
      <c r="I196" s="84"/>
    </row>
    <row r="197" spans="1:9" ht="15">
      <c r="A197" s="143" t="s">
        <v>43</v>
      </c>
      <c r="B197" s="143"/>
      <c r="C197" s="143"/>
      <c r="D197" s="143"/>
      <c r="E197" s="143"/>
      <c r="F197" s="143"/>
      <c r="G197" s="143"/>
      <c r="H197" s="143"/>
      <c r="I197" s="143"/>
    </row>
    <row r="198" spans="1:9" ht="15">
      <c r="A198" s="142" t="s">
        <v>44</v>
      </c>
      <c r="B198" s="142"/>
      <c r="C198" s="1"/>
      <c r="D198" s="1"/>
      <c r="E198" s="87">
        <f>E199+E200</f>
        <v>175580</v>
      </c>
      <c r="F198" s="87">
        <f>F199+F200</f>
        <v>175580</v>
      </c>
      <c r="G198" s="87"/>
      <c r="H198" s="87"/>
      <c r="I198" s="84"/>
    </row>
    <row r="199" spans="1:9" ht="15">
      <c r="A199" s="87"/>
      <c r="B199" s="84" t="s">
        <v>9</v>
      </c>
      <c r="C199" s="1"/>
      <c r="D199" s="1"/>
      <c r="E199" s="87">
        <f>E202</f>
        <v>151564</v>
      </c>
      <c r="F199" s="87">
        <f>E199</f>
        <v>151564</v>
      </c>
      <c r="G199" s="87"/>
      <c r="H199" s="87"/>
      <c r="I199" s="3"/>
    </row>
    <row r="200" spans="1:9" ht="15">
      <c r="A200" s="87"/>
      <c r="B200" s="84" t="s">
        <v>10</v>
      </c>
      <c r="C200" s="1"/>
      <c r="D200" s="1"/>
      <c r="E200" s="87">
        <f>E205</f>
        <v>24016</v>
      </c>
      <c r="F200" s="87">
        <f>E200</f>
        <v>24016</v>
      </c>
      <c r="G200" s="87"/>
      <c r="H200" s="87"/>
      <c r="I200" s="3"/>
    </row>
    <row r="201" spans="1:9" ht="15">
      <c r="A201" s="142" t="s">
        <v>11</v>
      </c>
      <c r="B201" s="142"/>
      <c r="C201" s="142"/>
      <c r="D201" s="142"/>
      <c r="E201" s="142"/>
      <c r="F201" s="142"/>
      <c r="G201" s="142"/>
      <c r="H201" s="142"/>
      <c r="I201" s="142"/>
    </row>
    <row r="202" spans="1:9" ht="25.5">
      <c r="A202" s="1">
        <v>1</v>
      </c>
      <c r="B202" s="15" t="s">
        <v>55</v>
      </c>
      <c r="C202" s="1" t="s">
        <v>12</v>
      </c>
      <c r="D202" s="1">
        <v>337</v>
      </c>
      <c r="E202" s="1">
        <v>151564</v>
      </c>
      <c r="F202" s="1"/>
      <c r="G202" s="1"/>
      <c r="H202" s="6"/>
      <c r="I202" s="3"/>
    </row>
    <row r="203" spans="1:9" ht="15">
      <c r="A203" s="142" t="s">
        <v>14</v>
      </c>
      <c r="B203" s="142"/>
      <c r="C203" s="1"/>
      <c r="D203" s="87"/>
      <c r="E203" s="87">
        <f>SUM(E202:E202)</f>
        <v>151564</v>
      </c>
      <c r="F203" s="87">
        <f>E203</f>
        <v>151564</v>
      </c>
      <c r="G203" s="87"/>
      <c r="H203" s="6"/>
      <c r="I203" s="3"/>
    </row>
    <row r="204" spans="1:9" ht="15">
      <c r="A204" s="142" t="s">
        <v>15</v>
      </c>
      <c r="B204" s="142"/>
      <c r="C204" s="142"/>
      <c r="D204" s="142"/>
      <c r="E204" s="142"/>
      <c r="F204" s="142"/>
      <c r="G204" s="142"/>
      <c r="H204" s="142"/>
      <c r="I204" s="142"/>
    </row>
    <row r="205" spans="1:9" ht="38.25">
      <c r="A205" s="1">
        <v>2</v>
      </c>
      <c r="B205" s="15" t="s">
        <v>52</v>
      </c>
      <c r="C205" s="1" t="s">
        <v>13</v>
      </c>
      <c r="D205" s="1">
        <v>1</v>
      </c>
      <c r="E205" s="1">
        <v>24016</v>
      </c>
      <c r="F205" s="1"/>
      <c r="G205" s="1"/>
      <c r="H205" s="6"/>
      <c r="I205" s="3"/>
    </row>
    <row r="206" spans="1:9" ht="15">
      <c r="A206" s="142" t="s">
        <v>16</v>
      </c>
      <c r="B206" s="142"/>
      <c r="C206" s="87"/>
      <c r="D206" s="87"/>
      <c r="E206" s="87">
        <f>SUM(E205:E205)</f>
        <v>24016</v>
      </c>
      <c r="F206" s="87">
        <f>E206</f>
        <v>24016</v>
      </c>
      <c r="G206" s="87"/>
      <c r="H206" s="6"/>
      <c r="I206" s="3"/>
    </row>
    <row r="207" spans="1:9" ht="15">
      <c r="A207" s="84"/>
      <c r="B207" s="84" t="s">
        <v>45</v>
      </c>
      <c r="C207" s="87"/>
      <c r="D207" s="87"/>
      <c r="E207" s="87">
        <f>E198</f>
        <v>175580</v>
      </c>
      <c r="F207" s="87">
        <f>F198</f>
        <v>175580</v>
      </c>
      <c r="G207" s="87"/>
      <c r="H207" s="87"/>
      <c r="I207" s="84"/>
    </row>
    <row r="208" spans="1:9" ht="15">
      <c r="A208" s="84"/>
      <c r="B208" s="84" t="s">
        <v>18</v>
      </c>
      <c r="C208" s="87"/>
      <c r="D208" s="87"/>
      <c r="E208" s="36"/>
      <c r="F208" s="36"/>
      <c r="G208" s="87"/>
      <c r="H208" s="87"/>
      <c r="I208" s="84"/>
    </row>
    <row r="209" spans="1:9" ht="15">
      <c r="A209" s="84"/>
      <c r="B209" s="84" t="s">
        <v>19</v>
      </c>
      <c r="C209" s="87"/>
      <c r="D209" s="87"/>
      <c r="E209" s="38">
        <f>F209</f>
        <v>175580</v>
      </c>
      <c r="F209" s="38">
        <f>F207</f>
        <v>175580</v>
      </c>
      <c r="G209" s="87"/>
      <c r="H209" s="87"/>
      <c r="I209" s="84"/>
    </row>
    <row r="210" spans="1:9" ht="15">
      <c r="A210" s="84"/>
      <c r="B210" s="84" t="s">
        <v>9</v>
      </c>
      <c r="C210" s="87"/>
      <c r="D210" s="87"/>
      <c r="E210" s="87">
        <f>F210+G210+H210</f>
        <v>151564</v>
      </c>
      <c r="F210" s="87">
        <f>F199</f>
        <v>151564</v>
      </c>
      <c r="G210" s="87"/>
      <c r="H210" s="87"/>
      <c r="I210" s="84"/>
    </row>
    <row r="211" spans="1:9" ht="15">
      <c r="A211" s="84"/>
      <c r="B211" s="84" t="s">
        <v>10</v>
      </c>
      <c r="C211" s="87"/>
      <c r="D211" s="87"/>
      <c r="E211" s="87">
        <f>F211+G211+H211</f>
        <v>24016</v>
      </c>
      <c r="F211" s="87">
        <f>F200</f>
        <v>24016</v>
      </c>
      <c r="G211" s="87"/>
      <c r="H211" s="87"/>
      <c r="I211" s="84"/>
    </row>
    <row r="212" spans="1:9" ht="15">
      <c r="A212" s="84"/>
      <c r="B212" s="84"/>
      <c r="C212" s="87"/>
      <c r="D212" s="87"/>
      <c r="E212" s="87"/>
      <c r="F212" s="87"/>
      <c r="G212" s="87"/>
      <c r="H212" s="87"/>
      <c r="I212" s="84"/>
    </row>
    <row r="213" spans="1:9" ht="15">
      <c r="A213" s="143" t="s">
        <v>17</v>
      </c>
      <c r="B213" s="143"/>
      <c r="C213" s="1"/>
      <c r="D213" s="1"/>
      <c r="E213" s="87">
        <f>E207+E192+E174+E153+E134</f>
        <v>3167817.1065714285</v>
      </c>
      <c r="F213" s="87">
        <f>F214+F215</f>
        <v>910575.5</v>
      </c>
      <c r="G213" s="87"/>
      <c r="H213" s="87"/>
      <c r="I213" s="75"/>
    </row>
    <row r="214" spans="1:9" ht="15">
      <c r="A214" s="76"/>
      <c r="B214" s="85" t="s">
        <v>18</v>
      </c>
      <c r="C214" s="76"/>
      <c r="D214" s="76"/>
      <c r="E214" s="87">
        <f>E135</f>
        <v>3986</v>
      </c>
      <c r="F214" s="87">
        <f>E214</f>
        <v>3986</v>
      </c>
      <c r="G214" s="77"/>
      <c r="H214" s="77"/>
      <c r="I214" s="76"/>
    </row>
    <row r="215" spans="1:9" ht="15">
      <c r="A215" s="78"/>
      <c r="B215" s="37" t="s">
        <v>19</v>
      </c>
      <c r="C215" s="78"/>
      <c r="D215" s="78"/>
      <c r="E215" s="87">
        <f>E136+E155+E176+E194+E209</f>
        <v>906590.321</v>
      </c>
      <c r="F215" s="87">
        <f>F136+F155+F176+F194+F209-0.5</f>
        <v>906589.5</v>
      </c>
      <c r="G215" s="77"/>
      <c r="H215" s="77"/>
      <c r="I215" s="76"/>
    </row>
    <row r="216" spans="1:9" ht="15">
      <c r="A216" s="79" t="s">
        <v>24</v>
      </c>
      <c r="B216" s="85" t="s">
        <v>20</v>
      </c>
      <c r="C216" s="79"/>
      <c r="D216" s="79"/>
      <c r="E216" s="21">
        <f>E156</f>
        <v>1250511.5</v>
      </c>
      <c r="F216" s="21"/>
      <c r="G216" s="87">
        <f>G218</f>
        <v>1250511.5</v>
      </c>
      <c r="H216" s="87"/>
      <c r="I216" s="79"/>
    </row>
    <row r="217" spans="1:9" ht="15">
      <c r="A217" s="76"/>
      <c r="B217" s="85" t="s">
        <v>8</v>
      </c>
      <c r="C217" s="76"/>
      <c r="D217" s="76"/>
      <c r="E217" s="21">
        <f>H217</f>
        <v>1006729</v>
      </c>
      <c r="F217" s="77"/>
      <c r="G217" s="87"/>
      <c r="H217" s="87">
        <f>H218</f>
        <v>1006729</v>
      </c>
      <c r="I217" s="76"/>
    </row>
    <row r="218" spans="1:9" ht="15">
      <c r="A218" s="1"/>
      <c r="B218" s="85" t="s">
        <v>9</v>
      </c>
      <c r="C218" s="1"/>
      <c r="D218" s="1"/>
      <c r="E218" s="87">
        <f>E213-E219</f>
        <v>2902849.1065714285</v>
      </c>
      <c r="F218" s="87">
        <f>F199+F181+F162+F141+F15</f>
        <v>645608.321</v>
      </c>
      <c r="G218" s="87">
        <f>G152</f>
        <v>1250511.5</v>
      </c>
      <c r="H218" s="87">
        <f>H158</f>
        <v>1006729</v>
      </c>
      <c r="I218" s="75"/>
    </row>
    <row r="219" spans="1:9" ht="15">
      <c r="A219" s="1"/>
      <c r="B219" s="85" t="s">
        <v>10</v>
      </c>
      <c r="C219" s="1"/>
      <c r="D219" s="1"/>
      <c r="E219" s="87">
        <f>F219+G219+H219</f>
        <v>264968</v>
      </c>
      <c r="F219" s="87">
        <f>F200+F182+F163+F142+F16</f>
        <v>264968</v>
      </c>
      <c r="G219" s="87"/>
      <c r="H219" s="87"/>
      <c r="I219" s="75"/>
    </row>
    <row r="222" spans="2:8" ht="15">
      <c r="B222" s="80" t="s">
        <v>23</v>
      </c>
      <c r="H222" s="80" t="s">
        <v>35</v>
      </c>
    </row>
    <row r="223" ht="15">
      <c r="H223" s="81">
        <v>44853</v>
      </c>
    </row>
  </sheetData>
  <sheetProtection/>
  <mergeCells count="50">
    <mergeCell ref="H1:I1"/>
    <mergeCell ref="G2:I4"/>
    <mergeCell ref="A5:I5"/>
    <mergeCell ref="A6:I6"/>
    <mergeCell ref="A7:I7"/>
    <mergeCell ref="A8:I8"/>
    <mergeCell ref="A10:A11"/>
    <mergeCell ref="B10:B11"/>
    <mergeCell ref="C10:C11"/>
    <mergeCell ref="D10:D11"/>
    <mergeCell ref="E10:E11"/>
    <mergeCell ref="F10:I10"/>
    <mergeCell ref="A13:I13"/>
    <mergeCell ref="A14:B14"/>
    <mergeCell ref="B17:I17"/>
    <mergeCell ref="A51:B51"/>
    <mergeCell ref="B52:I52"/>
    <mergeCell ref="A62:B62"/>
    <mergeCell ref="A139:I139"/>
    <mergeCell ref="A140:B140"/>
    <mergeCell ref="A143:I143"/>
    <mergeCell ref="A145:B145"/>
    <mergeCell ref="A146:I146"/>
    <mergeCell ref="A148:B148"/>
    <mergeCell ref="A149:I149"/>
    <mergeCell ref="A152:B152"/>
    <mergeCell ref="A160:I160"/>
    <mergeCell ref="A161:B161"/>
    <mergeCell ref="A164:I164"/>
    <mergeCell ref="A166:B166"/>
    <mergeCell ref="A167:I167"/>
    <mergeCell ref="A169:B169"/>
    <mergeCell ref="A170:I170"/>
    <mergeCell ref="A172:B172"/>
    <mergeCell ref="A173:I173"/>
    <mergeCell ref="A179:I179"/>
    <mergeCell ref="A180:B180"/>
    <mergeCell ref="A183:I183"/>
    <mergeCell ref="A185:B185"/>
    <mergeCell ref="A186:I186"/>
    <mergeCell ref="A188:B188"/>
    <mergeCell ref="A189:I189"/>
    <mergeCell ref="A206:B206"/>
    <mergeCell ref="A213:B213"/>
    <mergeCell ref="A191:B191"/>
    <mergeCell ref="A197:I197"/>
    <mergeCell ref="A198:B198"/>
    <mergeCell ref="A201:I201"/>
    <mergeCell ref="A203:B203"/>
    <mergeCell ref="A204:I2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2023-07-24T10:14:59Z</cp:lastPrinted>
  <dcterms:created xsi:type="dcterms:W3CDTF">2018-09-27T04:17:58Z</dcterms:created>
  <dcterms:modified xsi:type="dcterms:W3CDTF">2023-07-24T11:27:09Z</dcterms:modified>
  <cp:category/>
  <cp:version/>
  <cp:contentType/>
  <cp:contentStatus/>
</cp:coreProperties>
</file>